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urentiu.gagu\Desktop\"/>
    </mc:Choice>
  </mc:AlternateContent>
  <xr:revisionPtr revIDLastSave="0" documentId="8_{E080A37C-46E6-4EF7-ACFC-BC91911B88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eluri PC trim IV 2023" sheetId="16" r:id="rId1"/>
    <sheet name="Centralizator 2023" sheetId="5" state="hidden" r:id="rId2"/>
    <sheet name="Sheet1Pivot chart 0" sheetId="11" state="hidden" r:id="rId3"/>
    <sheet name="Sheet9" sheetId="10" state="hidden" r:id="rId4"/>
  </sheets>
  <definedNames>
    <definedName name="_xlnm._FilterDatabase" localSheetId="0" hidden="1">'Apeluri PC trim IV 2023'!$B$6:$Q$35</definedName>
    <definedName name="_xlnm.Print_Area" localSheetId="0">'Apeluri PC trim IV 2023'!$B$1:$Q$34</definedName>
    <definedName name="_xlnm.Print_Titles" localSheetId="0">'Apeluri PC trim IV 2023'!$6:$6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6" l="1"/>
  <c r="J27" i="16"/>
  <c r="K30" i="16" l="1"/>
  <c r="J30" i="16"/>
  <c r="B29" i="16" l="1"/>
  <c r="B30" i="16" s="1"/>
  <c r="B31" i="16" s="1"/>
  <c r="K32" i="16"/>
  <c r="J32" i="16"/>
  <c r="E17" i="10" l="1"/>
  <c r="E16" i="10"/>
  <c r="E15" i="10"/>
  <c r="E14" i="10"/>
  <c r="E13" i="10"/>
  <c r="E12" i="10"/>
  <c r="E11" i="10"/>
  <c r="E10" i="10"/>
  <c r="E9" i="10"/>
  <c r="E8" i="10"/>
  <c r="E7" i="10"/>
  <c r="E5" i="10"/>
  <c r="E4" i="10"/>
  <c r="E3" i="10"/>
  <c r="E2" i="10"/>
  <c r="D17" i="10"/>
  <c r="D16" i="10"/>
  <c r="D15" i="10"/>
  <c r="D14" i="10"/>
  <c r="D13" i="10"/>
  <c r="D12" i="10"/>
  <c r="D11" i="10"/>
  <c r="D10" i="10"/>
  <c r="D9" i="10"/>
  <c r="D8" i="10"/>
  <c r="D7" i="10"/>
  <c r="D5" i="10"/>
  <c r="D4" i="10"/>
  <c r="D3" i="10"/>
  <c r="D2" i="10"/>
  <c r="C18" i="10"/>
  <c r="B18" i="10"/>
  <c r="E18" i="10" l="1"/>
  <c r="D18" i="10"/>
  <c r="D20" i="5" l="1"/>
  <c r="C20" i="5"/>
  <c r="D11" i="5"/>
  <c r="C11" i="5"/>
  <c r="C21" i="5" l="1"/>
  <c r="D21" i="5"/>
  <c r="E11" i="5"/>
  <c r="F20" i="5" l="1"/>
  <c r="E20" i="5" l="1"/>
  <c r="E21" i="5" s="1"/>
  <c r="F11" i="5" l="1"/>
  <c r="F21" i="5" s="1"/>
</calcChain>
</file>

<file path=xl/sharedStrings.xml><?xml version="1.0" encoding="utf-8"?>
<sst xmlns="http://schemas.openxmlformats.org/spreadsheetml/2006/main" count="374" uniqueCount="129">
  <si>
    <t>Nr. crt.</t>
  </si>
  <si>
    <t>Domeniu</t>
  </si>
  <si>
    <t>Denumire apel de finanțare</t>
  </si>
  <si>
    <t>Obiectivele apelului de finanțare</t>
  </si>
  <si>
    <t>Program</t>
  </si>
  <si>
    <t>Educație</t>
  </si>
  <si>
    <t>Obiectivul de politică sau obiectivul specific vizat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</si>
  <si>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</si>
  <si>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</si>
  <si>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</si>
  <si>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Buget total apel (euro)</t>
  </si>
  <si>
    <t>Din care buget UE apel (euro)</t>
  </si>
  <si>
    <t>Sursă de finanțare (tip fond)</t>
  </si>
  <si>
    <t>competitiv</t>
  </si>
  <si>
    <t xml:space="preserve">TOTAL </t>
  </si>
  <si>
    <t>PR S</t>
  </si>
  <si>
    <t>LDR</t>
  </si>
  <si>
    <t>FSE+</t>
  </si>
  <si>
    <t>Capital uman pentru piața muncii</t>
  </si>
  <si>
    <t>Ministerul Educației</t>
  </si>
  <si>
    <t xml:space="preserve">TOTAL PR </t>
  </si>
  <si>
    <t>LDR+MDR</t>
  </si>
  <si>
    <t>MDR</t>
  </si>
  <si>
    <t>Furnizarea de măsuri active în pachete de servicii integrate</t>
  </si>
  <si>
    <t>8.e.5. Adaptarea serviciilor educaționale adresate elevilor și personalului didactic din ÎPT</t>
  </si>
  <si>
    <t>Combaterea sărăciei</t>
  </si>
  <si>
    <t xml:space="preserve">FSE +(K) + FEDR d (iii) </t>
  </si>
  <si>
    <t>Centre multifuncționale/sport/cultură destinate copiilor care provin din zone urbane izolate sau defavorizate care să asigure accesul acestora la activități sportive, recreative sau culturale)</t>
  </si>
  <si>
    <t>Furnizori de servicii sociale singuri sau in parteneriat cu actori relevanți (asociatii culturașe/unități de cult/cluburi sportive/asociații sportive/federații sportive etc.)</t>
  </si>
  <si>
    <t>PDD</t>
  </si>
  <si>
    <t>PR NE</t>
  </si>
  <si>
    <t>PR SE</t>
  </si>
  <si>
    <t>PR SV</t>
  </si>
  <si>
    <t>PT V</t>
  </si>
  <si>
    <t>PR NV</t>
  </si>
  <si>
    <t>PR C</t>
  </si>
  <si>
    <t>PR BI</t>
  </si>
  <si>
    <t>PTJ</t>
  </si>
  <si>
    <t>PS</t>
  </si>
  <si>
    <t>PEO</t>
  </si>
  <si>
    <t>PIDS</t>
  </si>
  <si>
    <t>PT</t>
  </si>
  <si>
    <t>PAT</t>
  </si>
  <si>
    <t>PCIDIF</t>
  </si>
  <si>
    <t>Total nationale</t>
  </si>
  <si>
    <t>Nr. apeluri  deschise in 2023</t>
  </si>
  <si>
    <t xml:space="preserve">Nr. total apeluri planificate </t>
  </si>
  <si>
    <t xml:space="preserve">Buget UE apeluri 2023 (euro) </t>
  </si>
  <si>
    <t>Buget total Apeluri 2023  (euro)</t>
  </si>
  <si>
    <t>Row Labels</t>
  </si>
  <si>
    <t>Grand Total</t>
  </si>
  <si>
    <t xml:space="preserve">Nr. total apeluri planificate  </t>
  </si>
  <si>
    <t xml:space="preserve">Nr. apeluri  deschise in 2023  </t>
  </si>
  <si>
    <t xml:space="preserve">Buget UE apeluri 2023 (mil. euro) </t>
  </si>
  <si>
    <t>Buget total Apeluri 2023  (mil. euro)</t>
  </si>
  <si>
    <t>Sum of Buget total Apeluri 2023  (mil. euro)</t>
  </si>
  <si>
    <t xml:space="preserve">Sum of Buget UE apeluri 2023 (mil. euro) </t>
  </si>
  <si>
    <t>Furnizori de FPC, dezvoltare de competențe transversale/Furnizori de servicii de stimulare a ocupării forței de muncă</t>
  </si>
  <si>
    <t>UAT judet/UAT municipii / UAT orase in parteneriat cu furnizorii de servicii si ONG</t>
  </si>
  <si>
    <t>FEDR+FSE+</t>
  </si>
  <si>
    <t xml:space="preserve">Autoritate de Management </t>
  </si>
  <si>
    <t xml:space="preserve">Programul Educație și Ocupare  </t>
  </si>
  <si>
    <t>MIPE - DGPECU</t>
  </si>
  <si>
    <t xml:space="preserve">Programul Incluziune si Demnitate Sociala </t>
  </si>
  <si>
    <t>trim 4/2023</t>
  </si>
  <si>
    <t>trim 1/2024</t>
  </si>
  <si>
    <t>trim 4/2024</t>
  </si>
  <si>
    <t>non-competitiv</t>
  </si>
  <si>
    <t>NOTA: Elaborat pe baza calendarelor indicative transmise de Autoritățile de Management</t>
  </si>
  <si>
    <t>ESO4.1</t>
  </si>
  <si>
    <t>ESO4.5</t>
  </si>
  <si>
    <t>ESO4.7</t>
  </si>
  <si>
    <t xml:space="preserve">3.a.1.2.Furnizarea de măsuri active în pachete de servicii integrate
</t>
  </si>
  <si>
    <t>FEDR d (iii) Obiectiv specific -; promovarea incluziunii socio-economice a comunităților marginalizate, a gospodăriilor cu venituri mici și a grupurilor dezavantajate, inclusiv a persoanelor cu nevoi speciale, prin acțiuni integrate, inclusiv locuințe și servicii sociale
FSE+ (k)</t>
  </si>
  <si>
    <t>Construirea, inchirierea și reabilitatea/renovarea locuințelor sociale împreună cu măsuri de acompaniere în vederea integrării persoanelor vulnerabile 
Sprijin pentru reglementarea așezărilor informale</t>
  </si>
  <si>
    <t>RSO4.3
ESO4.11</t>
  </si>
  <si>
    <t>FEDR
FSE+</t>
  </si>
  <si>
    <t>FSE  (m) reducerea privațiunilor materiale prin furnizarea de alimente și/sau de asistență materială de bază celor mai defavorizate persoane, inclusiv copiilor, și aplicarea de măsuri auxiliare care să sprijine incluziunea socială a acestora. (2.Sprijin pentru cuplurile mamă – nou-născut)</t>
  </si>
  <si>
    <t>ESO4.13</t>
  </si>
  <si>
    <t>MIPE</t>
  </si>
  <si>
    <t>FSE  (m) reducerea privațiunilor materiale prin furnizarea de alimente și/sau de asistență materială de bază celor mai defavorizate persoane, inclusiv copiilor, și aplicarea de măsuri auxiliare care să sprijine incluziunea socială a acestora. (1. Sprijin pentru preșcolarii și elevii, din învățământul de stat, proveniți din familii defavorizate)</t>
  </si>
  <si>
    <t>Sprijin pentru preșcolarii și elevii, din învățământul de stat, proveniți din familii defavorizate</t>
  </si>
  <si>
    <t>Sprijin pentru cuplurile mamă – nou-născut</t>
  </si>
  <si>
    <t>ESO4.11+RSO4.3</t>
  </si>
  <si>
    <t>2.a.2. Pregătirea şi furnizarea ofertei de servicii de formare/ocupare pentru tineri, inclusiv pentru tineri NEET, prin pachete integrate de măsuri active personalizate în funcție de profilul tinerilor</t>
  </si>
  <si>
    <t>Scheme naționale de stimulare a ocupării tinerilor</t>
  </si>
  <si>
    <t>entitățile Serviciul Public de Ocupare</t>
  </si>
  <si>
    <t>ANOFM/AJOFM</t>
  </si>
  <si>
    <t>MMSS in parteneriat cu actori relevanti in domeniul economiei sociale</t>
  </si>
  <si>
    <t>5.f.1. Dezvoltarea și asigurarea calității sistemului de ÎETC</t>
  </si>
  <si>
    <t>Dezvoltarea și asigurarea calității sistemului de ÎETC</t>
  </si>
  <si>
    <t>ESO4.6</t>
  </si>
  <si>
    <t>Ministerul Educatiei</t>
  </si>
  <si>
    <t>6.f.1.Intervenții integrate care vor viza unitățile de învățământ de stat care au nivel de învățământ primar cu un risc ridicat de părăsire timpurie a școlii și abandon școlar în rândul grupurilor dezavantajate și  grad ridicat de marginalizare</t>
  </si>
  <si>
    <t>Intervenții integrate care vor viza unitățile de învățământ de stat care au nivel de învățământ primar cu un risc ridicat de părăsire timpurie a școlii și abandon școlar în rândul grupurilor dezavantajate și  grad ridicat de marginalizare</t>
  </si>
  <si>
    <t>Ministerul Educației/ISJ/CCD/Instituții de învățământ preuniversitar din rețeaua națională publică sau privată/Furnizori publici si privați autorizati pentru servicii de consiliere/logopedie/consiliere psihologica, etc.</t>
  </si>
  <si>
    <t xml:space="preserve">6.f.6. Intervenții pentru învățământul terțiar (combaterea abandonului universitar si cresterea accesului la studii universitare) </t>
  </si>
  <si>
    <t xml:space="preserve"> Intervenții pentru învățământul terțiar (combaterea abandonului universitar si cresterea accesului la studii universitare) </t>
  </si>
  <si>
    <t>Ministerul Educatiei/Institutii de invatamant superior acreditate, inclusiv parteneriatele  între licee, universități și alți actori relevanți pentru sistemul de educație</t>
  </si>
  <si>
    <t>7.e.1. Realizarea unui mecanism eficient de recunoaștere a rezultatelor învățării dobândite în contexte non-formale și informale în învățământul preuniversitar și terțiar, pentru o mai bună integrare pe piața muncii. Definirea pentru sistemul de învățământul preuniversitar al unui nucleu al competențelor/standardelor de evaluare pe niveluri, în baza curriculumului național în vigoare. Elaborarea probelor de evaluare standardizată</t>
  </si>
  <si>
    <t>Asigurarea calității educației pentru toți, în corelație cu dinamica pieței muncii și societății</t>
  </si>
  <si>
    <t>7.e.3 Facilitarea accesului informat și a participării active la programe de educație, în acord cu interesele și competențele elevilor/studenților, cât și cu nevoile pieței muncii</t>
  </si>
  <si>
    <t>Flexibilizarea și diversificarea oportunităților de formare și dezvoltare a competențelor cheie ale elevilor</t>
  </si>
  <si>
    <t>8 .e.1. Optimizarea mecanismului de monitorizare și evaluare a politicilor publice privind formarea profesională la nivel de sistem</t>
  </si>
  <si>
    <t>Optimizarea mecanismului de monitorizare și evaluare a politicilor publice privind formarea profesională la nivel de sistem</t>
  </si>
  <si>
    <t>Ministerul Educatiei/CNDIPT</t>
  </si>
  <si>
    <t>8.e.2. Crearea si aplicare unui mecanism privind asigurarea calității învățării la locul de muncă (WBL) și certificarea rezultatelor învățării în formarea profesională inițială pentru a crește relevanța calificărilor pentru piața muncii</t>
  </si>
  <si>
    <t>Crearea si aplicare unui mecanism privind asigurarea calității învățării la locul de muncă (WBL) și certificarea rezultatelor învățării în formarea profesională inițială pentru a crește relevanța calificărilor pentru piața muncii</t>
  </si>
  <si>
    <t>8.e.3. Creșterea calității și a validității proceselor de predare-învățare-evaluare în ÎPT</t>
  </si>
  <si>
    <t>Creșterea calității și a validității proceselor de predare-învățare-evaluare în ÎPT</t>
  </si>
  <si>
    <t>Adaptarea serviciilor educaționale adresate elevilor și personalului didactic din ÎPT</t>
  </si>
  <si>
    <t>Ministerul Educatiei/CNDIPT/</t>
  </si>
  <si>
    <t>8.f.3. Dezvoltarea și furnizarea de programe remediale în vederea sprijinirii elevilor din clasa a IX-a, pentru creșterea nivelului de competență în citit, matematică şi științe</t>
  </si>
  <si>
    <t>Dezvoltarea și furnizarea de programe remediale în vederea sprijinirii elevilor din clasa a IX-a, pentru creșterea nivelului de competență în citit, matematică şi științe</t>
  </si>
  <si>
    <t xml:space="preserve">4 APELURI </t>
  </si>
  <si>
    <t>4.a.1.Dezvoltarea unor instrumente și structuri colaborative/ participative</t>
  </si>
  <si>
    <t>Dată ESTIMATĂ publicare ghid final
(zz/ll/an)</t>
  </si>
  <si>
    <t xml:space="preserve">Dată ESTIMATĂ deschidere apel
(zz/ll/an)  </t>
  </si>
  <si>
    <t>Dată ESTIMATĂ închidere apel</t>
  </si>
  <si>
    <t>Implementarea programului „Pachet de bază pentru persoanele fără/cu nivel scăzut de formare”</t>
  </si>
  <si>
    <t>9.g.4. Implementarea programului „Pachet de bază pentru persoanele fără/cu nivel scăzut de formare”</t>
  </si>
  <si>
    <t xml:space="preserve"> furnizori acreditati de servicii de  orientare in cariera si formare profesionala</t>
  </si>
  <si>
    <t>  furnizori acreditati de servicii de  orientare in cariera si formare profesionala</t>
  </si>
  <si>
    <t xml:space="preserve"> Implementarea programului „Competențe digitale pentru piata muncii”</t>
  </si>
  <si>
    <t>9.g.7. Implementarea programului „Competențe digitale pentru piata muncii”</t>
  </si>
  <si>
    <t>Furnizori de FPC</t>
  </si>
  <si>
    <t>Dezvoltarea unor instrumente și structuri colaborative/ participative privind antreprenoriatul, inclusiv antreprenoriatul social</t>
  </si>
  <si>
    <t xml:space="preserve">20 APELURI </t>
  </si>
  <si>
    <t>Calendarul estimativ consolidat al lansărilor de apeluri de proiecte pentru trimestrul IV 2023
- PROGRAMELE FINANȚATE ÎN CADRUL POLITICII DE COEZIUNE 2021-2027 - VERS. OCTOMBRIE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</si>
</sst>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418]mmmm\-yy;@"/>
    <numFmt numFmtId="166" formatCode="dd\.mm\.yy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name val="Trebuchet MS"/>
      <family val="2"/>
    </font>
    <font>
      <sz val="18"/>
      <name val="Trebuchet MS"/>
      <family val="2"/>
    </font>
    <font>
      <sz val="18"/>
      <color theme="1"/>
      <name val="Trebuchet MS"/>
      <family val="2"/>
    </font>
    <font>
      <b/>
      <sz val="18"/>
      <name val="Trebuchet MS"/>
      <family val="2"/>
    </font>
    <font>
      <b/>
      <sz val="18"/>
      <color rgb="FF000099"/>
      <name val="Trebuchet MS"/>
      <family val="2"/>
    </font>
    <font>
      <sz val="20"/>
      <color theme="7" tint="0.59999389629810485"/>
      <name val="Trebuchet MS"/>
      <family val="2"/>
    </font>
    <font>
      <b/>
      <sz val="20"/>
      <name val="Trebuchet MS"/>
      <family val="2"/>
    </font>
    <font>
      <b/>
      <sz val="24"/>
      <color rgb="FF000099"/>
      <name val="Trebuchet MS"/>
      <family val="2"/>
    </font>
    <font>
      <i/>
      <sz val="18"/>
      <color theme="1"/>
      <name val="Trebuchet MS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1" fillId="0" borderId="0"/>
    <xf numFmtId="0" fontId="16" fillId="0" borderId="0"/>
  </cellStyleXfs>
  <cellXfs count="7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/>
    </xf>
    <xf numFmtId="4" fontId="6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4" fontId="9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166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166" fontId="7" fillId="0" borderId="1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7" fillId="7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3" fontId="8" fillId="5" borderId="0" xfId="0" applyNumberFormat="1" applyFont="1" applyFill="1" applyAlignment="1">
      <alignment horizontal="center" vertical="center" wrapText="1"/>
    </xf>
    <xf numFmtId="165" fontId="7" fillId="7" borderId="2" xfId="5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/>
    </xf>
    <xf numFmtId="165" fontId="7" fillId="7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</cellXfs>
  <cellStyles count="10">
    <cellStyle name="Comma 2" xfId="2" xr:uid="{00000000-0005-0000-0000-000001000000}"/>
    <cellStyle name="Comma 3" xfId="4" xr:uid="{00000000-0005-0000-0000-000002000000}"/>
    <cellStyle name="Normal" xfId="0" builtinId="0"/>
    <cellStyle name="Normal 2" xfId="1" xr:uid="{00000000-0005-0000-0000-000004000000}"/>
    <cellStyle name="Normal 2 2 2" xfId="6" xr:uid="{00000000-0005-0000-0000-000005000000}"/>
    <cellStyle name="Normal 2 3 3 2" xfId="7" xr:uid="{00000000-0005-0000-0000-000006000000}"/>
    <cellStyle name="Normal 2 3 5 2 3 2 2" xfId="5" xr:uid="{00000000-0005-0000-0000-000007000000}"/>
    <cellStyle name="Normal 26 2" xfId="3" xr:uid="{00000000-0005-0000-0000-000008000000}"/>
    <cellStyle name="Normal 26 2 2" xfId="8" xr:uid="{00000000-0005-0000-0000-000009000000}"/>
    <cellStyle name="Normal 3" xfId="9" xr:uid="{C8BF6814-2CC5-4384-9F65-DEFF9EAB7564}"/>
  </cellStyles>
  <dxfs count="1">
    <dxf>
      <numFmt numFmtId="1" formatCode="0"/>
    </dxf>
  </dxfs>
  <tableStyles count="0" defaultTableStyle="TableStyleMedium2" defaultPivotStyle="PivotStyleLight16"/>
  <colors>
    <mruColors>
      <color rgb="FF66FFFF"/>
      <color rgb="FF0000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[PEO si PIDS.xlsx]Sheet1Pivot chart 0!PivotTable3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3990940671710434"/>
          <c:y val="0.14249781277340332"/>
          <c:w val="0.62199582937027353"/>
          <c:h val="0.5457381889763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'Sheet1Pivot chart 0'!$B$3</c:f>
              <c:strCache>
                <c:ptCount val="1"/>
                <c:pt idx="0">
                  <c:v>Nr. total apeluri planificate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'Sheet1Pivot chart 0'!$A$4:$A$20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0'!$B$4:$B$20</c:f>
              <c:numCache>
                <c:formatCode>General</c:formatCode>
                <c:ptCount val="16"/>
                <c:pt idx="0">
                  <c:v>5</c:v>
                </c:pt>
                <c:pt idx="1">
                  <c:v>20</c:v>
                </c:pt>
                <c:pt idx="2">
                  <c:v>16</c:v>
                </c:pt>
                <c:pt idx="3">
                  <c:v>59</c:v>
                </c:pt>
                <c:pt idx="4">
                  <c:v>28</c:v>
                </c:pt>
                <c:pt idx="5">
                  <c:v>28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25</c:v>
                </c:pt>
                <c:pt idx="10">
                  <c:v>57</c:v>
                </c:pt>
                <c:pt idx="11">
                  <c:v>29</c:v>
                </c:pt>
                <c:pt idx="12">
                  <c:v>97</c:v>
                </c:pt>
                <c:pt idx="13">
                  <c:v>15</c:v>
                </c:pt>
                <c:pt idx="1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6B-411C-98C5-BBCA5F02F3A8}"/>
            </c:ext>
          </c:extLst>
        </c:ser>
        <c:ser>
          <c:idx val="1"/>
          <c:order val="1"/>
          <c:tx>
            <c:strRef>
              <c:f>'Sheet1Pivot chart 0'!$C$3</c:f>
              <c:strCache>
                <c:ptCount val="1"/>
                <c:pt idx="0">
                  <c:v>Nr. apeluri  deschise in 2023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'Sheet1Pivot chart 0'!$A$4:$A$20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0'!$C$4:$C$20</c:f>
              <c:numCache>
                <c:formatCode>General</c:formatCode>
                <c:ptCount val="16"/>
                <c:pt idx="0">
                  <c:v>5</c:v>
                </c:pt>
                <c:pt idx="1">
                  <c:v>20</c:v>
                </c:pt>
                <c:pt idx="2">
                  <c:v>16</c:v>
                </c:pt>
                <c:pt idx="3">
                  <c:v>32</c:v>
                </c:pt>
                <c:pt idx="4">
                  <c:v>12</c:v>
                </c:pt>
                <c:pt idx="5">
                  <c:v>22</c:v>
                </c:pt>
                <c:pt idx="6">
                  <c:v>31</c:v>
                </c:pt>
                <c:pt idx="7">
                  <c:v>17</c:v>
                </c:pt>
                <c:pt idx="8">
                  <c:v>45</c:v>
                </c:pt>
                <c:pt idx="9">
                  <c:v>24</c:v>
                </c:pt>
                <c:pt idx="10">
                  <c:v>53</c:v>
                </c:pt>
                <c:pt idx="11">
                  <c:v>26</c:v>
                </c:pt>
                <c:pt idx="12">
                  <c:v>63</c:v>
                </c:pt>
                <c:pt idx="13">
                  <c:v>15</c:v>
                </c:pt>
                <c:pt idx="1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6B-411C-98C5-BBCA5F02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89952"/>
        <c:axId val="91795840"/>
      </c:barChart>
      <c:catAx>
        <c:axId val="917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95840"/>
        <c:crosses val="autoZero"/>
        <c:auto val="1"/>
        <c:lblAlgn val="ctr"/>
        <c:lblOffset val="100"/>
        <c:noMultiLvlLbl val="0"/>
      </c:catAx>
      <c:valAx>
        <c:axId val="917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89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[PEO si PIDS.xlsx]Sheet1Pivot chart 0!PivotTable4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9576516422779491"/>
          <c:y val="6.4675657190958039E-2"/>
          <c:w val="0.66315187501711315"/>
          <c:h val="0.70862494081335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'Sheet1Pivot chart 0'!$G$22</c:f>
              <c:strCache>
                <c:ptCount val="1"/>
                <c:pt idx="0">
                  <c:v>Sum of Buget total Apeluri 2023  (mil. euro)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'Sheet1Pivot chart 0'!$F$23:$F$39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0'!$G$23:$G$39</c:f>
              <c:numCache>
                <c:formatCode>0</c:formatCode>
                <c:ptCount val="16"/>
                <c:pt idx="0">
                  <c:v>959.43086400000004</c:v>
                </c:pt>
                <c:pt idx="1">
                  <c:v>1953.4533220000001</c:v>
                </c:pt>
                <c:pt idx="2">
                  <c:v>5254.2033190000002</c:v>
                </c:pt>
                <c:pt idx="3">
                  <c:v>1913.53927862975</c:v>
                </c:pt>
                <c:pt idx="4">
                  <c:v>1128.1608819999999</c:v>
                </c:pt>
                <c:pt idx="5">
                  <c:v>1298.1652005000001</c:v>
                </c:pt>
                <c:pt idx="6">
                  <c:v>1245.36919464882</c:v>
                </c:pt>
                <c:pt idx="7">
                  <c:v>958.8</c:v>
                </c:pt>
                <c:pt idx="8">
                  <c:v>1312.4111618499999</c:v>
                </c:pt>
                <c:pt idx="9">
                  <c:v>1292.5776103399999</c:v>
                </c:pt>
                <c:pt idx="10">
                  <c:v>1273.0753087058799</c:v>
                </c:pt>
                <c:pt idx="11">
                  <c:v>1093.3688629999999</c:v>
                </c:pt>
                <c:pt idx="12">
                  <c:v>5470.8015566496697</c:v>
                </c:pt>
                <c:pt idx="13">
                  <c:v>9626.2365348799995</c:v>
                </c:pt>
                <c:pt idx="15">
                  <c:v>2530.738057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3-4E0A-9B47-2586A6A47B65}"/>
            </c:ext>
          </c:extLst>
        </c:ser>
        <c:ser>
          <c:idx val="1"/>
          <c:order val="1"/>
          <c:tx>
            <c:strRef>
              <c:f>'Sheet1Pivot chart 0'!$H$22</c:f>
              <c:strCache>
                <c:ptCount val="1"/>
                <c:pt idx="0">
                  <c:v>Sum of Buget UE apeluri 2023 (mil. euro)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'Sheet1Pivot chart 0'!$F$23:$F$39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0'!$H$23:$H$39</c:f>
              <c:numCache>
                <c:formatCode>0</c:formatCode>
                <c:ptCount val="16"/>
                <c:pt idx="0">
                  <c:v>457.48787299999998</c:v>
                </c:pt>
                <c:pt idx="1">
                  <c:v>1464.0072379999999</c:v>
                </c:pt>
                <c:pt idx="2">
                  <c:v>4044.0736459999998</c:v>
                </c:pt>
                <c:pt idx="3">
                  <c:v>1559.902728</c:v>
                </c:pt>
                <c:pt idx="4">
                  <c:v>880.83</c:v>
                </c:pt>
                <c:pt idx="5">
                  <c:v>519.26607960000001</c:v>
                </c:pt>
                <c:pt idx="6">
                  <c:v>1033.840453</c:v>
                </c:pt>
                <c:pt idx="7">
                  <c:v>797.14</c:v>
                </c:pt>
                <c:pt idx="8">
                  <c:v>1092.579518</c:v>
                </c:pt>
                <c:pt idx="9">
                  <c:v>1070.5328149239999</c:v>
                </c:pt>
                <c:pt idx="10">
                  <c:v>1055.4144510000001</c:v>
                </c:pt>
                <c:pt idx="11">
                  <c:v>910.62470499999995</c:v>
                </c:pt>
                <c:pt idx="12">
                  <c:v>1955.51239259</c:v>
                </c:pt>
                <c:pt idx="13">
                  <c:v>4650.5153259999997</c:v>
                </c:pt>
                <c:pt idx="15">
                  <c:v>2139.7155298100001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3-4E0A-9B47-2586A6A4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854336"/>
        <c:axId val="91855872"/>
      </c:barChart>
      <c:catAx>
        <c:axId val="9185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55872"/>
        <c:crosses val="autoZero"/>
        <c:auto val="1"/>
        <c:lblAlgn val="ctr"/>
        <c:lblOffset val="100"/>
        <c:noMultiLvlLbl val="0"/>
      </c:catAx>
      <c:valAx>
        <c:axId val="918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5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50976080090205"/>
          <c:y val="0.42831512430656637"/>
          <c:w val="0.10859488179305514"/>
          <c:h val="0.36014777662814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241527</xdr:colOff>
      <xdr:row>2</xdr:row>
      <xdr:rowOff>186418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AE5717-999B-4493-AACC-3D546DA6DF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0"/>
          <a:ext cx="12342087" cy="14654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5</xdr:row>
      <xdr:rowOff>0</xdr:rowOff>
    </xdr:from>
    <xdr:to>
      <xdr:col>8</xdr:col>
      <xdr:colOff>504825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19</xdr:row>
      <xdr:rowOff>95249</xdr:rowOff>
    </xdr:from>
    <xdr:to>
      <xdr:col>8</xdr:col>
      <xdr:colOff>504825</xdr:colOff>
      <xdr:row>41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Elena Marinas" refreshedDate="44964.815813310182" createdVersion="6" refreshedVersion="6" minRefreshableVersion="3" recordCount="16" xr:uid="{00000000-000A-0000-FFFF-FFFF01000000}">
  <cacheSource type="worksheet">
    <worksheetSource ref="A1:E17" sheet="Sheet9"/>
  </cacheSource>
  <cacheFields count="5">
    <cacheField name="Program" numFmtId="0">
      <sharedItems count="16">
        <s v="PR NE"/>
        <s v="PR SE"/>
        <s v="PR S"/>
        <s v="PR SV"/>
        <s v="PT V"/>
        <s v="PR NV"/>
        <s v="PR C"/>
        <s v="PR BI"/>
        <s v="PTJ"/>
        <s v="PS"/>
        <s v="PCIDIF"/>
        <s v="PEO"/>
        <s v="PIDS"/>
        <s v="PDD"/>
        <s v="PT"/>
        <s v="PAT"/>
      </sharedItems>
    </cacheField>
    <cacheField name="Nr. total apeluri planificate " numFmtId="0">
      <sharedItems containsString="0" containsBlank="1" containsNumber="1" containsInteger="1" minValue="5" maxValue="97"/>
    </cacheField>
    <cacheField name="Nr. apeluri  deschise in 2023" numFmtId="0">
      <sharedItems containsString="0" containsBlank="1" containsNumber="1" containsInteger="1" minValue="5" maxValue="94"/>
    </cacheField>
    <cacheField name="Buget total Apeluri 2023  (mil. euro)" numFmtId="3">
      <sharedItems containsString="0" containsBlank="1" containsNumber="1" minValue="958.8" maxValue="9626.2365348799995"/>
    </cacheField>
    <cacheField name="Buget UE apeluri 2023 (mil. euro) " numFmtId="3">
      <sharedItems containsString="0" containsBlank="1" containsNumber="1" minValue="457.48787299999998" maxValue="4650.515325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40"/>
    <n v="17"/>
    <n v="958.8"/>
    <n v="797.14"/>
  </r>
  <r>
    <x v="1"/>
    <n v="57"/>
    <n v="53"/>
    <n v="1273.0753087058799"/>
    <n v="1055.4144510000001"/>
  </r>
  <r>
    <x v="2"/>
    <n v="25"/>
    <n v="24"/>
    <n v="1292.5776103399999"/>
    <n v="1070.5328149239999"/>
  </r>
  <r>
    <x v="3"/>
    <n v="29"/>
    <n v="26"/>
    <n v="1093.3688629999999"/>
    <n v="910.62470499999995"/>
  </r>
  <r>
    <x v="4"/>
    <m/>
    <m/>
    <m/>
    <m/>
  </r>
  <r>
    <x v="5"/>
    <n v="45"/>
    <n v="45"/>
    <n v="1312.4111618499999"/>
    <n v="1092.579518"/>
  </r>
  <r>
    <x v="6"/>
    <n v="35"/>
    <n v="31"/>
    <n v="1245.36919464882"/>
    <n v="1033.840453"/>
  </r>
  <r>
    <x v="7"/>
    <n v="28"/>
    <n v="22"/>
    <n v="1298.1652005000001"/>
    <n v="519.26607960000001"/>
  </r>
  <r>
    <x v="8"/>
    <n v="94"/>
    <n v="94"/>
    <n v="2530.738057"/>
    <n v="2139.7155298100001"/>
  </r>
  <r>
    <x v="9"/>
    <n v="97"/>
    <n v="63"/>
    <n v="5470.8015566496697"/>
    <n v="1955.51239259"/>
  </r>
  <r>
    <x v="10"/>
    <n v="20"/>
    <n v="20"/>
    <n v="1953.4533220000001"/>
    <n v="1464.0072379999999"/>
  </r>
  <r>
    <x v="11"/>
    <n v="59"/>
    <n v="32"/>
    <n v="1913.53927862975"/>
    <n v="1559.902728"/>
  </r>
  <r>
    <x v="12"/>
    <n v="28"/>
    <n v="12"/>
    <n v="1128.1608819999999"/>
    <n v="880.83"/>
  </r>
  <r>
    <x v="13"/>
    <n v="16"/>
    <n v="16"/>
    <n v="5254.2033190000002"/>
    <n v="4044.0736459999998"/>
  </r>
  <r>
    <x v="14"/>
    <n v="15"/>
    <n v="15"/>
    <n v="9626.2365348799995"/>
    <n v="4650.5153259999997"/>
  </r>
  <r>
    <x v="15"/>
    <n v="5"/>
    <n v="5"/>
    <n v="959.43086400000004"/>
    <n v="457.487872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20" firstHeaderRow="0" firstDataRow="1" firstDataCol="1"/>
  <pivotFields count="5">
    <pivotField axis="axisRow" showAll="0">
      <items count="17">
        <item x="15"/>
        <item x="10"/>
        <item x="13"/>
        <item x="11"/>
        <item x="12"/>
        <item x="7"/>
        <item x="6"/>
        <item x="0"/>
        <item x="5"/>
        <item x="2"/>
        <item x="1"/>
        <item x="3"/>
        <item x="9"/>
        <item x="14"/>
        <item x="4"/>
        <item x="8"/>
        <item t="default"/>
      </items>
    </pivotField>
    <pivotField dataField="1" showAll="0"/>
    <pivotField dataField="1" showAll="0"/>
    <pivotField showAll="0" defaultSubtotal="0"/>
    <pivotField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Nr. total apeluri planificate  " fld="1" baseField="0" baseItem="0"/>
    <dataField name="Nr. apeluri  deschise in 2023  " fld="2" baseField="0" baseItem="0"/>
  </dataFields>
  <chartFormats count="2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F22:H39" firstHeaderRow="0" firstDataRow="1" firstDataCol="1"/>
  <pivotFields count="5">
    <pivotField axis="axisRow" showAll="0">
      <items count="17">
        <item x="15"/>
        <item x="10"/>
        <item x="13"/>
        <item x="11"/>
        <item x="12"/>
        <item x="7"/>
        <item x="6"/>
        <item x="0"/>
        <item x="5"/>
        <item x="2"/>
        <item x="1"/>
        <item x="3"/>
        <item x="9"/>
        <item x="14"/>
        <item x="4"/>
        <item x="8"/>
        <item t="default"/>
      </items>
    </pivotField>
    <pivotField showAll="0"/>
    <pivotField showAll="0"/>
    <pivotField dataField="1" showAll="0" defaultSubtotal="0"/>
    <pivotField dataField="1"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get total Apeluri 2023  (mil. euro)" fld="3" baseField="0" baseItem="1"/>
    <dataField name="Sum of Buget UE apeluri 2023 (mil. euro) " fld="4" baseField="0" baseItem="1"/>
  </dataFields>
  <formats count="1">
    <format dxfId="0">
      <pivotArea outline="0" collapsedLevelsAreSubtotals="1" fieldPosition="0"/>
    </format>
  </format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4"/>
  <sheetViews>
    <sheetView tabSelected="1" view="pageBreakPreview" topLeftCell="B1" zoomScale="70" zoomScaleNormal="70" zoomScaleSheetLayoutView="70" workbookViewId="0">
      <selection activeCell="J32" sqref="J32"/>
    </sheetView>
  </sheetViews>
  <sheetFormatPr defaultColWidth="9.140625" defaultRowHeight="50.1" customHeight="1" x14ac:dyDescent="0.25"/>
  <cols>
    <col min="1" max="1" width="12.7109375" style="33" customWidth="1"/>
    <col min="2" max="2" width="10.28515625" style="34" customWidth="1"/>
    <col min="3" max="3" width="24.7109375" style="33" customWidth="1"/>
    <col min="4" max="4" width="35.42578125" style="33" customWidth="1"/>
    <col min="5" max="5" width="26" style="33" customWidth="1"/>
    <col min="6" max="6" width="43" style="33" customWidth="1"/>
    <col min="7" max="7" width="46.28515625" style="18" customWidth="1"/>
    <col min="8" max="8" width="25.42578125" style="18" customWidth="1"/>
    <col min="9" max="9" width="29.42578125" style="18" customWidth="1"/>
    <col min="10" max="10" width="34.42578125" style="20" customWidth="1"/>
    <col min="11" max="11" width="32.42578125" style="20" customWidth="1"/>
    <col min="12" max="12" width="16" style="18" customWidth="1"/>
    <col min="13" max="13" width="73.42578125" style="33" customWidth="1"/>
    <col min="14" max="14" width="28" style="33" customWidth="1"/>
    <col min="15" max="15" width="31.5703125" style="33" customWidth="1"/>
    <col min="16" max="16" width="36.85546875" style="30" customWidth="1"/>
    <col min="17" max="17" width="35.28515625" style="35" customWidth="1"/>
    <col min="18" max="18" width="23.28515625" style="33" customWidth="1"/>
    <col min="19" max="16384" width="9.140625" style="33"/>
  </cols>
  <sheetData>
    <row r="1" spans="1:20" s="18" customFormat="1" ht="50.1" customHeight="1" x14ac:dyDescent="0.25">
      <c r="B1" s="17"/>
      <c r="H1" s="19"/>
      <c r="J1" s="20"/>
      <c r="K1" s="20"/>
      <c r="P1" s="28"/>
      <c r="Q1" s="29"/>
    </row>
    <row r="2" spans="1:20" s="18" customFormat="1" ht="50.1" customHeight="1" x14ac:dyDescent="0.25">
      <c r="B2" s="17"/>
      <c r="H2" s="19"/>
      <c r="J2" s="20"/>
      <c r="K2" s="20"/>
      <c r="P2" s="28"/>
      <c r="Q2" s="29"/>
    </row>
    <row r="3" spans="1:20" s="18" customFormat="1" ht="60.75" customHeight="1" x14ac:dyDescent="0.25">
      <c r="B3" s="17"/>
      <c r="D3" s="61" t="s">
        <v>128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9"/>
    </row>
    <row r="4" spans="1:20" s="18" customFormat="1" ht="50.1" customHeight="1" thickBot="1" x14ac:dyDescent="0.3">
      <c r="B4" s="17"/>
      <c r="H4" s="19"/>
      <c r="J4" s="20"/>
      <c r="K4" s="20"/>
      <c r="P4" s="28"/>
      <c r="Q4" s="29"/>
    </row>
    <row r="5" spans="1:20" s="18" customFormat="1" ht="69.75" customHeight="1" x14ac:dyDescent="0.25">
      <c r="B5" s="62" t="s">
        <v>0</v>
      </c>
      <c r="C5" s="64" t="s">
        <v>4</v>
      </c>
      <c r="D5" s="64" t="s">
        <v>60</v>
      </c>
      <c r="E5" s="64" t="s">
        <v>1</v>
      </c>
      <c r="F5" s="64" t="s">
        <v>2</v>
      </c>
      <c r="G5" s="64" t="s">
        <v>3</v>
      </c>
      <c r="H5" s="64" t="s">
        <v>6</v>
      </c>
      <c r="I5" s="64" t="s">
        <v>8</v>
      </c>
      <c r="J5" s="66" t="s">
        <v>10</v>
      </c>
      <c r="K5" s="66" t="s">
        <v>11</v>
      </c>
      <c r="L5" s="64" t="s">
        <v>12</v>
      </c>
      <c r="M5" s="64" t="s">
        <v>9</v>
      </c>
      <c r="N5" s="64" t="s">
        <v>7</v>
      </c>
      <c r="O5" s="70" t="s">
        <v>116</v>
      </c>
      <c r="P5" s="64" t="s">
        <v>117</v>
      </c>
      <c r="Q5" s="68" t="s">
        <v>118</v>
      </c>
    </row>
    <row r="6" spans="1:20" s="32" customFormat="1" ht="50.1" customHeight="1" x14ac:dyDescent="0.25">
      <c r="B6" s="63"/>
      <c r="C6" s="65"/>
      <c r="D6" s="65"/>
      <c r="E6" s="65"/>
      <c r="F6" s="65"/>
      <c r="G6" s="65"/>
      <c r="H6" s="65"/>
      <c r="I6" s="65"/>
      <c r="J6" s="67"/>
      <c r="K6" s="67"/>
      <c r="L6" s="65"/>
      <c r="M6" s="65"/>
      <c r="N6" s="65"/>
      <c r="O6" s="71"/>
      <c r="P6" s="65"/>
      <c r="Q6" s="69"/>
    </row>
    <row r="7" spans="1:20" s="55" customFormat="1" ht="60" customHeight="1" x14ac:dyDescent="0.25">
      <c r="A7" s="17"/>
      <c r="B7" s="53">
        <v>1</v>
      </c>
      <c r="C7" s="25" t="s">
        <v>61</v>
      </c>
      <c r="D7" s="25" t="s">
        <v>62</v>
      </c>
      <c r="E7" s="25" t="s">
        <v>18</v>
      </c>
      <c r="F7" s="25" t="s">
        <v>85</v>
      </c>
      <c r="G7" s="25" t="s">
        <v>84</v>
      </c>
      <c r="H7" s="48" t="s">
        <v>69</v>
      </c>
      <c r="I7" s="44" t="s">
        <v>21</v>
      </c>
      <c r="J7" s="50">
        <v>283089265.5</v>
      </c>
      <c r="K7" s="50">
        <v>217339500</v>
      </c>
      <c r="L7" s="44" t="s">
        <v>17</v>
      </c>
      <c r="M7" s="44" t="s">
        <v>86</v>
      </c>
      <c r="N7" s="44" t="s">
        <v>67</v>
      </c>
      <c r="O7" s="52">
        <v>45257</v>
      </c>
      <c r="P7" s="52">
        <v>45260</v>
      </c>
      <c r="Q7" s="54" t="s">
        <v>65</v>
      </c>
      <c r="R7" s="56"/>
      <c r="S7" s="56"/>
      <c r="T7" s="56"/>
    </row>
    <row r="8" spans="1:20" s="55" customFormat="1" ht="60" customHeight="1" x14ac:dyDescent="0.25">
      <c r="A8" s="17"/>
      <c r="B8" s="53">
        <v>2</v>
      </c>
      <c r="C8" s="25" t="s">
        <v>61</v>
      </c>
      <c r="D8" s="25" t="s">
        <v>62</v>
      </c>
      <c r="E8" s="25" t="s">
        <v>18</v>
      </c>
      <c r="F8" s="25" t="s">
        <v>23</v>
      </c>
      <c r="G8" s="25" t="s">
        <v>72</v>
      </c>
      <c r="H8" s="48" t="s">
        <v>69</v>
      </c>
      <c r="I8" s="44" t="s">
        <v>16</v>
      </c>
      <c r="J8" s="50">
        <v>43411765</v>
      </c>
      <c r="K8" s="50">
        <v>36900000</v>
      </c>
      <c r="L8" s="44" t="s">
        <v>17</v>
      </c>
      <c r="M8" s="44" t="s">
        <v>57</v>
      </c>
      <c r="N8" s="44" t="s">
        <v>13</v>
      </c>
      <c r="O8" s="52">
        <v>45257</v>
      </c>
      <c r="P8" s="52">
        <v>45260</v>
      </c>
      <c r="Q8" s="54" t="s">
        <v>65</v>
      </c>
      <c r="R8" s="56"/>
      <c r="S8" s="56"/>
    </row>
    <row r="9" spans="1:20" s="55" customFormat="1" ht="60" customHeight="1" x14ac:dyDescent="0.25">
      <c r="A9" s="17"/>
      <c r="B9" s="53">
        <v>3</v>
      </c>
      <c r="C9" s="25" t="s">
        <v>61</v>
      </c>
      <c r="D9" s="25" t="s">
        <v>62</v>
      </c>
      <c r="E9" s="25" t="s">
        <v>18</v>
      </c>
      <c r="F9" s="25" t="s">
        <v>23</v>
      </c>
      <c r="G9" s="25" t="s">
        <v>72</v>
      </c>
      <c r="H9" s="48" t="s">
        <v>69</v>
      </c>
      <c r="I9" s="44" t="s">
        <v>22</v>
      </c>
      <c r="J9" s="50">
        <v>10250000</v>
      </c>
      <c r="K9" s="50">
        <v>4100000</v>
      </c>
      <c r="L9" s="44" t="s">
        <v>17</v>
      </c>
      <c r="M9" s="44" t="s">
        <v>57</v>
      </c>
      <c r="N9" s="44" t="s">
        <v>13</v>
      </c>
      <c r="O9" s="52">
        <v>45257</v>
      </c>
      <c r="P9" s="52">
        <v>45260</v>
      </c>
      <c r="Q9" s="54" t="s">
        <v>65</v>
      </c>
      <c r="R9" s="56"/>
      <c r="S9" s="56"/>
    </row>
    <row r="10" spans="1:20" s="55" customFormat="1" ht="60" customHeight="1" x14ac:dyDescent="0.25">
      <c r="A10" s="17"/>
      <c r="B10" s="53">
        <v>4</v>
      </c>
      <c r="C10" s="25" t="s">
        <v>61</v>
      </c>
      <c r="D10" s="25" t="s">
        <v>62</v>
      </c>
      <c r="E10" s="25" t="s">
        <v>18</v>
      </c>
      <c r="F10" s="17" t="s">
        <v>23</v>
      </c>
      <c r="G10" s="25" t="s">
        <v>72</v>
      </c>
      <c r="H10" s="48" t="s">
        <v>69</v>
      </c>
      <c r="I10" s="44" t="s">
        <v>21</v>
      </c>
      <c r="J10" s="50">
        <v>170147059</v>
      </c>
      <c r="K10" s="50">
        <v>130000000</v>
      </c>
      <c r="L10" s="44" t="s">
        <v>17</v>
      </c>
      <c r="M10" s="44" t="s">
        <v>87</v>
      </c>
      <c r="N10" s="44" t="s">
        <v>67</v>
      </c>
      <c r="O10" s="52">
        <v>45257</v>
      </c>
      <c r="P10" s="52">
        <v>45260</v>
      </c>
      <c r="Q10" s="54" t="s">
        <v>65</v>
      </c>
      <c r="R10" s="56"/>
      <c r="S10" s="56"/>
    </row>
    <row r="11" spans="1:20" s="55" customFormat="1" ht="60" customHeight="1" x14ac:dyDescent="0.25">
      <c r="A11" s="17"/>
      <c r="B11" s="53">
        <v>5</v>
      </c>
      <c r="C11" s="25" t="s">
        <v>61</v>
      </c>
      <c r="D11" s="25" t="s">
        <v>62</v>
      </c>
      <c r="E11" s="25" t="s">
        <v>18</v>
      </c>
      <c r="F11" s="25" t="s">
        <v>126</v>
      </c>
      <c r="G11" s="25" t="s">
        <v>115</v>
      </c>
      <c r="H11" s="48" t="s">
        <v>69</v>
      </c>
      <c r="I11" s="44" t="s">
        <v>21</v>
      </c>
      <c r="J11" s="50">
        <v>4100735</v>
      </c>
      <c r="K11" s="50">
        <v>3300000</v>
      </c>
      <c r="L11" s="44" t="s">
        <v>17</v>
      </c>
      <c r="M11" s="44" t="s">
        <v>88</v>
      </c>
      <c r="N11" s="25" t="s">
        <v>67</v>
      </c>
      <c r="O11" s="37">
        <v>45278</v>
      </c>
      <c r="P11" s="37">
        <v>45278</v>
      </c>
      <c r="Q11" s="38" t="s">
        <v>65</v>
      </c>
      <c r="R11" s="56"/>
      <c r="S11" s="56"/>
    </row>
    <row r="12" spans="1:20" s="55" customFormat="1" ht="60" customHeight="1" x14ac:dyDescent="0.25">
      <c r="A12" s="17"/>
      <c r="B12" s="53">
        <v>6</v>
      </c>
      <c r="C12" s="25" t="s">
        <v>61</v>
      </c>
      <c r="D12" s="25" t="s">
        <v>62</v>
      </c>
      <c r="E12" s="25" t="s">
        <v>5</v>
      </c>
      <c r="F12" s="25" t="s">
        <v>90</v>
      </c>
      <c r="G12" s="25" t="s">
        <v>89</v>
      </c>
      <c r="H12" s="48" t="s">
        <v>91</v>
      </c>
      <c r="I12" s="44" t="s">
        <v>16</v>
      </c>
      <c r="J12" s="50">
        <v>10000000</v>
      </c>
      <c r="K12" s="50">
        <v>8500000</v>
      </c>
      <c r="L12" s="44" t="s">
        <v>17</v>
      </c>
      <c r="M12" s="44" t="s">
        <v>92</v>
      </c>
      <c r="N12" s="25" t="s">
        <v>67</v>
      </c>
      <c r="O12" s="37">
        <v>45243</v>
      </c>
      <c r="P12" s="37">
        <v>45243</v>
      </c>
      <c r="Q12" s="38" t="s">
        <v>65</v>
      </c>
      <c r="R12" s="56"/>
      <c r="S12" s="56"/>
    </row>
    <row r="13" spans="1:20" s="55" customFormat="1" ht="60" customHeight="1" x14ac:dyDescent="0.25">
      <c r="A13" s="17"/>
      <c r="B13" s="53">
        <v>7</v>
      </c>
      <c r="C13" s="25" t="s">
        <v>61</v>
      </c>
      <c r="D13" s="25" t="s">
        <v>62</v>
      </c>
      <c r="E13" s="25" t="s">
        <v>5</v>
      </c>
      <c r="F13" s="25" t="s">
        <v>94</v>
      </c>
      <c r="G13" s="25" t="s">
        <v>93</v>
      </c>
      <c r="H13" s="48" t="s">
        <v>91</v>
      </c>
      <c r="I13" s="44" t="s">
        <v>16</v>
      </c>
      <c r="J13" s="50">
        <v>237164706</v>
      </c>
      <c r="K13" s="50">
        <v>201590000</v>
      </c>
      <c r="L13" s="44" t="s">
        <v>17</v>
      </c>
      <c r="M13" s="44" t="s">
        <v>95</v>
      </c>
      <c r="N13" s="48" t="s">
        <v>67</v>
      </c>
      <c r="O13" s="47">
        <v>45250</v>
      </c>
      <c r="P13" s="47">
        <v>45250</v>
      </c>
      <c r="Q13" s="57" t="s">
        <v>64</v>
      </c>
      <c r="R13" s="56"/>
      <c r="S13" s="56"/>
    </row>
    <row r="14" spans="1:20" s="55" customFormat="1" ht="60" customHeight="1" x14ac:dyDescent="0.25">
      <c r="A14" s="17"/>
      <c r="B14" s="53">
        <v>8</v>
      </c>
      <c r="C14" s="25" t="s">
        <v>61</v>
      </c>
      <c r="D14" s="25" t="s">
        <v>62</v>
      </c>
      <c r="E14" s="25" t="s">
        <v>5</v>
      </c>
      <c r="F14" s="25" t="s">
        <v>94</v>
      </c>
      <c r="G14" s="25" t="s">
        <v>93</v>
      </c>
      <c r="H14" s="48" t="s">
        <v>91</v>
      </c>
      <c r="I14" s="44" t="s">
        <v>22</v>
      </c>
      <c r="J14" s="50">
        <v>26525000</v>
      </c>
      <c r="K14" s="50">
        <v>10610000</v>
      </c>
      <c r="L14" s="44" t="s">
        <v>17</v>
      </c>
      <c r="M14" s="44" t="s">
        <v>95</v>
      </c>
      <c r="N14" s="48" t="s">
        <v>67</v>
      </c>
      <c r="O14" s="47">
        <v>45250</v>
      </c>
      <c r="P14" s="47">
        <v>45250</v>
      </c>
      <c r="Q14" s="57" t="s">
        <v>64</v>
      </c>
      <c r="R14" s="56"/>
      <c r="S14" s="56"/>
    </row>
    <row r="15" spans="1:20" s="55" customFormat="1" ht="60" customHeight="1" x14ac:dyDescent="0.25">
      <c r="A15" s="17"/>
      <c r="B15" s="53">
        <v>9</v>
      </c>
      <c r="C15" s="25" t="s">
        <v>61</v>
      </c>
      <c r="D15" s="25" t="s">
        <v>62</v>
      </c>
      <c r="E15" s="25" t="s">
        <v>5</v>
      </c>
      <c r="F15" s="25" t="s">
        <v>97</v>
      </c>
      <c r="G15" s="25" t="s">
        <v>96</v>
      </c>
      <c r="H15" s="48" t="s">
        <v>91</v>
      </c>
      <c r="I15" s="44" t="s">
        <v>16</v>
      </c>
      <c r="J15" s="50">
        <v>59398531</v>
      </c>
      <c r="K15" s="50">
        <v>47800000</v>
      </c>
      <c r="L15" s="44" t="s">
        <v>17</v>
      </c>
      <c r="M15" s="44" t="s">
        <v>98</v>
      </c>
      <c r="N15" s="48" t="s">
        <v>67</v>
      </c>
      <c r="O15" s="47">
        <v>45257</v>
      </c>
      <c r="P15" s="47">
        <v>45257</v>
      </c>
      <c r="Q15" s="59" t="s">
        <v>64</v>
      </c>
      <c r="R15" s="56"/>
      <c r="S15" s="56"/>
    </row>
    <row r="16" spans="1:20" s="55" customFormat="1" ht="60" customHeight="1" x14ac:dyDescent="0.25">
      <c r="A16" s="17"/>
      <c r="B16" s="53">
        <v>10</v>
      </c>
      <c r="C16" s="25" t="s">
        <v>61</v>
      </c>
      <c r="D16" s="25" t="s">
        <v>62</v>
      </c>
      <c r="E16" s="25" t="s">
        <v>5</v>
      </c>
      <c r="F16" s="25" t="s">
        <v>100</v>
      </c>
      <c r="G16" s="25" t="s">
        <v>99</v>
      </c>
      <c r="H16" s="48" t="s">
        <v>70</v>
      </c>
      <c r="I16" s="44" t="s">
        <v>16</v>
      </c>
      <c r="J16" s="50">
        <v>38823530</v>
      </c>
      <c r="K16" s="50">
        <v>33000000</v>
      </c>
      <c r="L16" s="44" t="s">
        <v>17</v>
      </c>
      <c r="M16" s="44" t="s">
        <v>19</v>
      </c>
      <c r="N16" s="48" t="s">
        <v>67</v>
      </c>
      <c r="O16" s="47">
        <v>45264</v>
      </c>
      <c r="P16" s="47">
        <v>45264</v>
      </c>
      <c r="Q16" s="59" t="s">
        <v>64</v>
      </c>
      <c r="R16" s="56"/>
      <c r="S16" s="56"/>
    </row>
    <row r="17" spans="1:19" s="55" customFormat="1" ht="60" customHeight="1" x14ac:dyDescent="0.25">
      <c r="A17" s="17"/>
      <c r="B17" s="53">
        <v>11</v>
      </c>
      <c r="C17" s="25" t="s">
        <v>61</v>
      </c>
      <c r="D17" s="25" t="s">
        <v>62</v>
      </c>
      <c r="E17" s="25" t="s">
        <v>5</v>
      </c>
      <c r="F17" s="25" t="s">
        <v>102</v>
      </c>
      <c r="G17" s="25" t="s">
        <v>101</v>
      </c>
      <c r="H17" s="48" t="s">
        <v>70</v>
      </c>
      <c r="I17" s="44" t="s">
        <v>21</v>
      </c>
      <c r="J17" s="50">
        <v>31066176.521739129</v>
      </c>
      <c r="K17" s="50">
        <v>25000000</v>
      </c>
      <c r="L17" s="44" t="s">
        <v>17</v>
      </c>
      <c r="M17" s="44" t="s">
        <v>19</v>
      </c>
      <c r="N17" s="48" t="s">
        <v>67</v>
      </c>
      <c r="O17" s="47">
        <v>45264</v>
      </c>
      <c r="P17" s="47">
        <v>45264</v>
      </c>
      <c r="Q17" s="59" t="s">
        <v>64</v>
      </c>
      <c r="R17" s="56"/>
      <c r="S17" s="56"/>
    </row>
    <row r="18" spans="1:19" s="55" customFormat="1" ht="60" customHeight="1" x14ac:dyDescent="0.25">
      <c r="A18" s="17"/>
      <c r="B18" s="53">
        <v>12</v>
      </c>
      <c r="C18" s="25" t="s">
        <v>61</v>
      </c>
      <c r="D18" s="25" t="s">
        <v>62</v>
      </c>
      <c r="E18" s="25" t="s">
        <v>5</v>
      </c>
      <c r="F18" s="25" t="s">
        <v>104</v>
      </c>
      <c r="G18" s="25" t="s">
        <v>103</v>
      </c>
      <c r="H18" s="48" t="s">
        <v>70</v>
      </c>
      <c r="I18" s="44" t="s">
        <v>16</v>
      </c>
      <c r="J18" s="50">
        <v>8000000</v>
      </c>
      <c r="K18" s="50">
        <v>6800000</v>
      </c>
      <c r="L18" s="44" t="s">
        <v>17</v>
      </c>
      <c r="M18" s="44" t="s">
        <v>105</v>
      </c>
      <c r="N18" s="48" t="s">
        <v>67</v>
      </c>
      <c r="O18" s="47">
        <v>45264</v>
      </c>
      <c r="P18" s="47">
        <v>45264</v>
      </c>
      <c r="Q18" s="59" t="s">
        <v>64</v>
      </c>
      <c r="R18" s="56"/>
      <c r="S18" s="56"/>
    </row>
    <row r="19" spans="1:19" s="55" customFormat="1" ht="60" customHeight="1" x14ac:dyDescent="0.25">
      <c r="A19" s="17"/>
      <c r="B19" s="53">
        <v>13</v>
      </c>
      <c r="C19" s="25" t="s">
        <v>61</v>
      </c>
      <c r="D19" s="25" t="s">
        <v>62</v>
      </c>
      <c r="E19" s="25" t="s">
        <v>5</v>
      </c>
      <c r="F19" s="25" t="s">
        <v>107</v>
      </c>
      <c r="G19" s="25" t="s">
        <v>106</v>
      </c>
      <c r="H19" s="48" t="s">
        <v>70</v>
      </c>
      <c r="I19" s="44" t="s">
        <v>16</v>
      </c>
      <c r="J19" s="50">
        <v>29411765</v>
      </c>
      <c r="K19" s="50">
        <v>25000000</v>
      </c>
      <c r="L19" s="44" t="s">
        <v>17</v>
      </c>
      <c r="M19" s="44" t="s">
        <v>105</v>
      </c>
      <c r="N19" s="48" t="s">
        <v>67</v>
      </c>
      <c r="O19" s="47">
        <v>45271</v>
      </c>
      <c r="P19" s="47">
        <v>45271</v>
      </c>
      <c r="Q19" s="57" t="s">
        <v>64</v>
      </c>
      <c r="R19" s="56"/>
      <c r="S19" s="56"/>
    </row>
    <row r="20" spans="1:19" s="55" customFormat="1" ht="60" customHeight="1" x14ac:dyDescent="0.25">
      <c r="A20" s="17"/>
      <c r="B20" s="53">
        <v>14</v>
      </c>
      <c r="C20" s="25" t="s">
        <v>61</v>
      </c>
      <c r="D20" s="25" t="s">
        <v>62</v>
      </c>
      <c r="E20" s="25" t="s">
        <v>5</v>
      </c>
      <c r="F20" s="25" t="s">
        <v>109</v>
      </c>
      <c r="G20" s="25" t="s">
        <v>108</v>
      </c>
      <c r="H20" s="48" t="s">
        <v>70</v>
      </c>
      <c r="I20" s="44" t="s">
        <v>16</v>
      </c>
      <c r="J20" s="50">
        <v>7058825</v>
      </c>
      <c r="K20" s="50">
        <v>6000000</v>
      </c>
      <c r="L20" s="44" t="s">
        <v>17</v>
      </c>
      <c r="M20" s="44" t="s">
        <v>105</v>
      </c>
      <c r="N20" s="48" t="s">
        <v>67</v>
      </c>
      <c r="O20" s="47">
        <v>45271</v>
      </c>
      <c r="P20" s="47">
        <v>45271</v>
      </c>
      <c r="Q20" s="57" t="s">
        <v>64</v>
      </c>
      <c r="R20" s="56"/>
      <c r="S20" s="56"/>
    </row>
    <row r="21" spans="1:19" s="55" customFormat="1" ht="60" customHeight="1" x14ac:dyDescent="0.25">
      <c r="A21" s="17"/>
      <c r="B21" s="53">
        <v>15</v>
      </c>
      <c r="C21" s="25" t="s">
        <v>61</v>
      </c>
      <c r="D21" s="25" t="s">
        <v>62</v>
      </c>
      <c r="E21" s="25" t="s">
        <v>5</v>
      </c>
      <c r="F21" s="25" t="s">
        <v>110</v>
      </c>
      <c r="G21" s="25" t="s">
        <v>24</v>
      </c>
      <c r="H21" s="48" t="s">
        <v>70</v>
      </c>
      <c r="I21" s="44" t="s">
        <v>21</v>
      </c>
      <c r="J21" s="50">
        <v>12432203.248511098</v>
      </c>
      <c r="K21" s="50">
        <v>10000000</v>
      </c>
      <c r="L21" s="44" t="s">
        <v>17</v>
      </c>
      <c r="M21" s="44" t="s">
        <v>111</v>
      </c>
      <c r="N21" s="48" t="s">
        <v>67</v>
      </c>
      <c r="O21" s="47">
        <v>45278</v>
      </c>
      <c r="P21" s="47">
        <v>45278</v>
      </c>
      <c r="Q21" s="57" t="s">
        <v>64</v>
      </c>
      <c r="R21" s="56"/>
      <c r="S21" s="56"/>
    </row>
    <row r="22" spans="1:19" s="55" customFormat="1" ht="60" customHeight="1" x14ac:dyDescent="0.25">
      <c r="A22" s="17"/>
      <c r="B22" s="53">
        <v>16</v>
      </c>
      <c r="C22" s="25" t="s">
        <v>61</v>
      </c>
      <c r="D22" s="25" t="s">
        <v>62</v>
      </c>
      <c r="E22" s="25" t="s">
        <v>5</v>
      </c>
      <c r="F22" s="25" t="s">
        <v>113</v>
      </c>
      <c r="G22" s="25" t="s">
        <v>112</v>
      </c>
      <c r="H22" s="48" t="s">
        <v>91</v>
      </c>
      <c r="I22" s="44" t="s">
        <v>16</v>
      </c>
      <c r="J22" s="50">
        <v>88235294</v>
      </c>
      <c r="K22" s="50">
        <v>75000000</v>
      </c>
      <c r="L22" s="44" t="s">
        <v>17</v>
      </c>
      <c r="M22" s="44" t="s">
        <v>92</v>
      </c>
      <c r="N22" s="48" t="s">
        <v>67</v>
      </c>
      <c r="O22" s="47">
        <v>45278</v>
      </c>
      <c r="P22" s="47">
        <v>45278</v>
      </c>
      <c r="Q22" s="57" t="s">
        <v>64</v>
      </c>
      <c r="R22" s="56"/>
      <c r="S22" s="56"/>
    </row>
    <row r="23" spans="1:19" s="55" customFormat="1" ht="60" customHeight="1" x14ac:dyDescent="0.25">
      <c r="A23" s="17"/>
      <c r="B23" s="53">
        <v>17</v>
      </c>
      <c r="C23" s="25" t="s">
        <v>61</v>
      </c>
      <c r="D23" s="25" t="s">
        <v>62</v>
      </c>
      <c r="E23" s="25" t="s">
        <v>5</v>
      </c>
      <c r="F23" s="25" t="s">
        <v>119</v>
      </c>
      <c r="G23" s="25" t="s">
        <v>120</v>
      </c>
      <c r="H23" s="48" t="s">
        <v>71</v>
      </c>
      <c r="I23" s="44" t="s">
        <v>16</v>
      </c>
      <c r="J23" s="50">
        <v>100588235</v>
      </c>
      <c r="K23" s="50">
        <v>85500000</v>
      </c>
      <c r="L23" s="44" t="s">
        <v>17</v>
      </c>
      <c r="M23" s="44" t="s">
        <v>121</v>
      </c>
      <c r="N23" s="48" t="s">
        <v>13</v>
      </c>
      <c r="O23" s="47">
        <v>45250</v>
      </c>
      <c r="P23" s="39">
        <v>45254</v>
      </c>
      <c r="Q23" s="57" t="s">
        <v>65</v>
      </c>
      <c r="R23" s="56"/>
      <c r="S23" s="56"/>
    </row>
    <row r="24" spans="1:19" s="55" customFormat="1" ht="60" customHeight="1" x14ac:dyDescent="0.25">
      <c r="A24" s="17"/>
      <c r="B24" s="53">
        <v>18</v>
      </c>
      <c r="C24" s="25" t="s">
        <v>61</v>
      </c>
      <c r="D24" s="25" t="s">
        <v>62</v>
      </c>
      <c r="E24" s="25" t="s">
        <v>5</v>
      </c>
      <c r="F24" s="25" t="s">
        <v>119</v>
      </c>
      <c r="G24" s="25" t="s">
        <v>120</v>
      </c>
      <c r="H24" s="48" t="s">
        <v>71</v>
      </c>
      <c r="I24" s="44" t="s">
        <v>22</v>
      </c>
      <c r="J24" s="50">
        <v>11250000</v>
      </c>
      <c r="K24" s="50">
        <v>4500000</v>
      </c>
      <c r="L24" s="44" t="s">
        <v>17</v>
      </c>
      <c r="M24" s="44" t="s">
        <v>122</v>
      </c>
      <c r="N24" s="48" t="s">
        <v>13</v>
      </c>
      <c r="O24" s="47">
        <v>45250</v>
      </c>
      <c r="P24" s="39">
        <v>45254</v>
      </c>
      <c r="Q24" s="57" t="s">
        <v>65</v>
      </c>
      <c r="R24" s="56"/>
      <c r="S24" s="56"/>
    </row>
    <row r="25" spans="1:19" s="27" customFormat="1" ht="60" customHeight="1" x14ac:dyDescent="0.25">
      <c r="B25" s="53">
        <v>19</v>
      </c>
      <c r="C25" s="25" t="s">
        <v>61</v>
      </c>
      <c r="D25" s="25" t="s">
        <v>62</v>
      </c>
      <c r="E25" s="25" t="s">
        <v>5</v>
      </c>
      <c r="F25" s="25" t="s">
        <v>123</v>
      </c>
      <c r="G25" s="25" t="s">
        <v>124</v>
      </c>
      <c r="H25" s="48" t="s">
        <v>71</v>
      </c>
      <c r="I25" s="44" t="s">
        <v>16</v>
      </c>
      <c r="J25" s="50">
        <v>83823529</v>
      </c>
      <c r="K25" s="50">
        <v>71250000</v>
      </c>
      <c r="L25" s="44" t="s">
        <v>17</v>
      </c>
      <c r="M25" s="44" t="s">
        <v>125</v>
      </c>
      <c r="N25" s="48" t="s">
        <v>13</v>
      </c>
      <c r="O25" s="47">
        <v>45250</v>
      </c>
      <c r="P25" s="39">
        <v>45254</v>
      </c>
      <c r="Q25" s="59" t="s">
        <v>66</v>
      </c>
      <c r="R25" s="56"/>
      <c r="S25" s="56"/>
    </row>
    <row r="26" spans="1:19" s="27" customFormat="1" ht="60" customHeight="1" x14ac:dyDescent="0.25">
      <c r="B26" s="53">
        <v>20</v>
      </c>
      <c r="C26" s="25" t="s">
        <v>61</v>
      </c>
      <c r="D26" s="25" t="s">
        <v>62</v>
      </c>
      <c r="E26" s="25" t="s">
        <v>5</v>
      </c>
      <c r="F26" s="25" t="s">
        <v>123</v>
      </c>
      <c r="G26" s="25" t="s">
        <v>124</v>
      </c>
      <c r="H26" s="48" t="s">
        <v>71</v>
      </c>
      <c r="I26" s="44" t="s">
        <v>22</v>
      </c>
      <c r="J26" s="50">
        <v>9375000</v>
      </c>
      <c r="K26" s="50">
        <v>3750000</v>
      </c>
      <c r="L26" s="44" t="s">
        <v>17</v>
      </c>
      <c r="M26" s="44" t="s">
        <v>125</v>
      </c>
      <c r="N26" s="48" t="s">
        <v>13</v>
      </c>
      <c r="O26" s="47">
        <v>45250</v>
      </c>
      <c r="P26" s="39">
        <v>45254</v>
      </c>
      <c r="Q26" s="59" t="s">
        <v>66</v>
      </c>
      <c r="R26" s="56"/>
      <c r="S26" s="56"/>
    </row>
    <row r="27" spans="1:19" s="24" customFormat="1" ht="60" customHeight="1" x14ac:dyDescent="0.25">
      <c r="A27" s="21"/>
      <c r="B27" s="43">
        <v>20</v>
      </c>
      <c r="C27" s="22" t="s">
        <v>61</v>
      </c>
      <c r="D27" s="22" t="s">
        <v>62</v>
      </c>
      <c r="E27" s="22" t="s">
        <v>127</v>
      </c>
      <c r="F27" s="22"/>
      <c r="G27" s="22"/>
      <c r="H27" s="23"/>
      <c r="I27" s="22"/>
      <c r="J27" s="49">
        <f>SUM(J7:J26)</f>
        <v>1264151619.2702503</v>
      </c>
      <c r="K27" s="49">
        <f>SUM(K7:K26)</f>
        <v>1005939500</v>
      </c>
      <c r="L27" s="22"/>
      <c r="M27" s="22"/>
      <c r="N27" s="23"/>
      <c r="O27" s="23"/>
      <c r="P27" s="31"/>
      <c r="Q27" s="58"/>
    </row>
    <row r="28" spans="1:19" s="27" customFormat="1" ht="60" customHeight="1" x14ac:dyDescent="0.25">
      <c r="B28" s="42">
        <v>1</v>
      </c>
      <c r="C28" s="25" t="s">
        <v>63</v>
      </c>
      <c r="D28" s="25" t="s">
        <v>62</v>
      </c>
      <c r="E28" s="25" t="s">
        <v>25</v>
      </c>
      <c r="F28" s="25" t="s">
        <v>81</v>
      </c>
      <c r="G28" s="25" t="s">
        <v>80</v>
      </c>
      <c r="H28" s="26" t="s">
        <v>78</v>
      </c>
      <c r="I28" s="25" t="s">
        <v>21</v>
      </c>
      <c r="J28" s="46">
        <v>120000000</v>
      </c>
      <c r="K28" s="46">
        <v>108000000</v>
      </c>
      <c r="L28" s="25" t="s">
        <v>17</v>
      </c>
      <c r="M28" s="25" t="s">
        <v>79</v>
      </c>
      <c r="N28" s="25" t="s">
        <v>67</v>
      </c>
      <c r="O28" s="37">
        <v>45264</v>
      </c>
      <c r="P28" s="37">
        <v>45264</v>
      </c>
      <c r="Q28" s="60" t="s">
        <v>64</v>
      </c>
    </row>
    <row r="29" spans="1:19" s="27" customFormat="1" ht="60" customHeight="1" x14ac:dyDescent="0.25">
      <c r="B29" s="42">
        <f>B28+1</f>
        <v>2</v>
      </c>
      <c r="C29" s="25" t="s">
        <v>63</v>
      </c>
      <c r="D29" s="25" t="s">
        <v>62</v>
      </c>
      <c r="E29" s="25" t="s">
        <v>25</v>
      </c>
      <c r="F29" s="25" t="s">
        <v>82</v>
      </c>
      <c r="G29" s="25" t="s">
        <v>77</v>
      </c>
      <c r="H29" s="26" t="s">
        <v>78</v>
      </c>
      <c r="I29" s="25" t="s">
        <v>21</v>
      </c>
      <c r="J29" s="46">
        <v>24000000</v>
      </c>
      <c r="K29" s="46">
        <v>21600000</v>
      </c>
      <c r="L29" s="25" t="s">
        <v>17</v>
      </c>
      <c r="M29" s="25" t="s">
        <v>79</v>
      </c>
      <c r="N29" s="25" t="s">
        <v>67</v>
      </c>
      <c r="O29" s="37">
        <v>45264</v>
      </c>
      <c r="P29" s="37">
        <v>45264</v>
      </c>
      <c r="Q29" s="60" t="s">
        <v>64</v>
      </c>
    </row>
    <row r="30" spans="1:19" s="27" customFormat="1" ht="60" customHeight="1" x14ac:dyDescent="0.25">
      <c r="B30" s="42">
        <f t="shared" ref="B30:B31" si="0">B29+1</f>
        <v>3</v>
      </c>
      <c r="C30" s="25" t="s">
        <v>63</v>
      </c>
      <c r="D30" s="25" t="s">
        <v>62</v>
      </c>
      <c r="E30" s="25" t="s">
        <v>25</v>
      </c>
      <c r="F30" s="25" t="s">
        <v>74</v>
      </c>
      <c r="G30" s="25" t="s">
        <v>73</v>
      </c>
      <c r="H30" s="25" t="s">
        <v>75</v>
      </c>
      <c r="I30" s="25" t="s">
        <v>21</v>
      </c>
      <c r="J30" s="46">
        <f>138011500+34283824</f>
        <v>172295324</v>
      </c>
      <c r="K30" s="46">
        <f>100000000+28500000</f>
        <v>128500000</v>
      </c>
      <c r="L30" s="25" t="s">
        <v>76</v>
      </c>
      <c r="M30" s="25" t="s">
        <v>58</v>
      </c>
      <c r="N30" s="25" t="s">
        <v>13</v>
      </c>
      <c r="O30" s="37">
        <v>45272</v>
      </c>
      <c r="P30" s="39">
        <v>45275</v>
      </c>
      <c r="Q30" s="38" t="s">
        <v>65</v>
      </c>
    </row>
    <row r="31" spans="1:19" s="27" customFormat="1" ht="60" customHeight="1" x14ac:dyDescent="0.25">
      <c r="B31" s="42">
        <f t="shared" si="0"/>
        <v>4</v>
      </c>
      <c r="C31" s="25" t="s">
        <v>63</v>
      </c>
      <c r="D31" s="25" t="s">
        <v>62</v>
      </c>
      <c r="E31" s="25" t="s">
        <v>25</v>
      </c>
      <c r="F31" s="25" t="s">
        <v>27</v>
      </c>
      <c r="G31" s="25" t="s">
        <v>26</v>
      </c>
      <c r="H31" s="26" t="s">
        <v>83</v>
      </c>
      <c r="I31" s="25" t="s">
        <v>21</v>
      </c>
      <c r="J31" s="46">
        <v>113928309</v>
      </c>
      <c r="K31" s="46">
        <v>84900000</v>
      </c>
      <c r="L31" s="25" t="s">
        <v>59</v>
      </c>
      <c r="M31" s="25" t="s">
        <v>28</v>
      </c>
      <c r="N31" s="25" t="s">
        <v>13</v>
      </c>
      <c r="O31" s="37">
        <v>45266</v>
      </c>
      <c r="P31" s="39">
        <v>45268</v>
      </c>
      <c r="Q31" s="38" t="s">
        <v>65</v>
      </c>
    </row>
    <row r="32" spans="1:19" s="24" customFormat="1" ht="60" customHeight="1" x14ac:dyDescent="0.25">
      <c r="A32" s="21"/>
      <c r="B32" s="43">
        <v>4</v>
      </c>
      <c r="C32" s="22" t="s">
        <v>63</v>
      </c>
      <c r="D32" s="22" t="s">
        <v>62</v>
      </c>
      <c r="E32" s="22" t="s">
        <v>114</v>
      </c>
      <c r="F32" s="22"/>
      <c r="G32" s="22"/>
      <c r="H32" s="22"/>
      <c r="I32" s="22"/>
      <c r="J32" s="49">
        <f>SUM(J28:J31)</f>
        <v>430223633</v>
      </c>
      <c r="K32" s="49">
        <f>SUM(K28:K31)</f>
        <v>343000000</v>
      </c>
      <c r="L32" s="22"/>
      <c r="M32" s="22"/>
      <c r="N32" s="23"/>
      <c r="O32" s="23"/>
      <c r="P32" s="31"/>
      <c r="Q32" s="58"/>
    </row>
    <row r="33" spans="2:17" s="18" customFormat="1" ht="50.1" customHeight="1" x14ac:dyDescent="0.25">
      <c r="B33" s="17"/>
      <c r="C33" s="40" t="s">
        <v>68</v>
      </c>
      <c r="D33" s="41"/>
      <c r="E33" s="41"/>
      <c r="F33" s="41"/>
      <c r="G33" s="41"/>
      <c r="H33" s="41"/>
      <c r="I33" s="41"/>
      <c r="J33" s="51"/>
      <c r="K33" s="20"/>
      <c r="P33" s="28"/>
      <c r="Q33" s="29"/>
    </row>
    <row r="34" spans="2:17" s="18" customFormat="1" ht="50.1" customHeight="1" x14ac:dyDescent="0.25">
      <c r="B34" s="17"/>
      <c r="H34" s="19"/>
      <c r="J34" s="20"/>
      <c r="K34" s="20"/>
      <c r="P34" s="28"/>
      <c r="Q34" s="29"/>
    </row>
    <row r="35" spans="2:17" ht="50.1" customHeight="1" x14ac:dyDescent="0.25">
      <c r="C35" s="36"/>
    </row>
    <row r="39" spans="2:17" ht="50.1" customHeight="1" x14ac:dyDescent="0.25">
      <c r="L39" s="20"/>
      <c r="M39" s="45"/>
      <c r="N39" s="45"/>
      <c r="O39" s="45"/>
    </row>
    <row r="40" spans="2:17" ht="50.1" customHeight="1" x14ac:dyDescent="0.25">
      <c r="L40" s="20"/>
      <c r="M40" s="45"/>
      <c r="N40" s="45"/>
      <c r="O40" s="45"/>
    </row>
    <row r="41" spans="2:17" ht="50.1" customHeight="1" x14ac:dyDescent="0.25">
      <c r="L41" s="20"/>
      <c r="M41" s="45"/>
      <c r="N41" s="45"/>
      <c r="O41" s="45"/>
    </row>
    <row r="42" spans="2:17" ht="50.1" customHeight="1" x14ac:dyDescent="0.25">
      <c r="L42" s="20"/>
      <c r="M42" s="45"/>
      <c r="N42" s="45"/>
      <c r="O42" s="45"/>
    </row>
    <row r="43" spans="2:17" ht="50.1" customHeight="1" x14ac:dyDescent="0.25">
      <c r="L43" s="20"/>
      <c r="M43" s="45"/>
      <c r="N43" s="45"/>
      <c r="O43" s="45"/>
    </row>
    <row r="44" spans="2:17" ht="50.1" customHeight="1" x14ac:dyDescent="0.25">
      <c r="L44" s="20"/>
      <c r="M44" s="45"/>
      <c r="N44" s="45"/>
      <c r="O44" s="45"/>
    </row>
    <row r="45" spans="2:17" ht="50.1" customHeight="1" x14ac:dyDescent="0.25">
      <c r="L45" s="20"/>
      <c r="M45" s="45"/>
      <c r="N45" s="45"/>
      <c r="O45" s="45"/>
    </row>
    <row r="46" spans="2:17" ht="50.1" customHeight="1" x14ac:dyDescent="0.25">
      <c r="L46" s="20"/>
      <c r="M46" s="45"/>
      <c r="N46" s="45"/>
      <c r="O46" s="45"/>
    </row>
    <row r="47" spans="2:17" ht="50.1" customHeight="1" x14ac:dyDescent="0.25">
      <c r="L47" s="20"/>
      <c r="M47" s="45"/>
      <c r="N47" s="45"/>
      <c r="O47" s="45"/>
    </row>
    <row r="48" spans="2:17" ht="50.1" customHeight="1" x14ac:dyDescent="0.25">
      <c r="L48" s="20"/>
      <c r="M48" s="45"/>
      <c r="N48" s="45"/>
      <c r="O48" s="45"/>
    </row>
    <row r="49" spans="12:15" ht="50.1" customHeight="1" x14ac:dyDescent="0.25">
      <c r="L49" s="20"/>
      <c r="M49" s="45"/>
      <c r="N49" s="45"/>
      <c r="O49" s="45"/>
    </row>
    <row r="50" spans="12:15" ht="50.1" customHeight="1" x14ac:dyDescent="0.25">
      <c r="L50" s="20"/>
      <c r="M50" s="45"/>
      <c r="N50" s="45"/>
      <c r="O50" s="45"/>
    </row>
    <row r="51" spans="12:15" ht="50.1" customHeight="1" x14ac:dyDescent="0.25">
      <c r="L51" s="20"/>
      <c r="M51" s="45"/>
      <c r="N51" s="45"/>
      <c r="O51" s="45"/>
    </row>
    <row r="52" spans="12:15" ht="50.1" customHeight="1" x14ac:dyDescent="0.25">
      <c r="L52" s="20"/>
      <c r="M52" s="45"/>
      <c r="N52" s="45"/>
      <c r="O52" s="45"/>
    </row>
    <row r="53" spans="12:15" ht="50.1" customHeight="1" x14ac:dyDescent="0.25">
      <c r="L53" s="20"/>
      <c r="M53" s="45"/>
      <c r="N53" s="45"/>
      <c r="O53" s="45"/>
    </row>
    <row r="54" spans="12:15" ht="50.1" customHeight="1" x14ac:dyDescent="0.25">
      <c r="L54" s="20"/>
      <c r="M54" s="45"/>
      <c r="N54" s="45"/>
      <c r="O54" s="45"/>
    </row>
    <row r="55" spans="12:15" ht="50.1" customHeight="1" x14ac:dyDescent="0.25">
      <c r="L55" s="20"/>
      <c r="M55" s="45"/>
      <c r="N55" s="45"/>
      <c r="O55" s="45"/>
    </row>
    <row r="56" spans="12:15" ht="50.1" customHeight="1" x14ac:dyDescent="0.25">
      <c r="L56" s="20"/>
      <c r="M56" s="45"/>
      <c r="N56" s="45"/>
      <c r="O56" s="45"/>
    </row>
    <row r="57" spans="12:15" ht="50.1" customHeight="1" x14ac:dyDescent="0.25">
      <c r="L57" s="20"/>
      <c r="M57" s="45"/>
      <c r="N57" s="45"/>
      <c r="O57" s="45"/>
    </row>
    <row r="58" spans="12:15" ht="50.1" customHeight="1" x14ac:dyDescent="0.25">
      <c r="L58" s="20"/>
      <c r="M58" s="45"/>
      <c r="N58" s="45"/>
      <c r="O58" s="45"/>
    </row>
    <row r="59" spans="12:15" ht="50.1" customHeight="1" x14ac:dyDescent="0.25">
      <c r="L59" s="20"/>
      <c r="M59" s="45"/>
      <c r="N59" s="45"/>
      <c r="O59" s="45"/>
    </row>
    <row r="60" spans="12:15" ht="50.1" customHeight="1" x14ac:dyDescent="0.25">
      <c r="L60" s="20"/>
      <c r="M60" s="45"/>
      <c r="N60" s="45"/>
      <c r="O60" s="45"/>
    </row>
    <row r="61" spans="12:15" ht="50.1" customHeight="1" x14ac:dyDescent="0.25">
      <c r="L61" s="20"/>
      <c r="M61" s="45"/>
      <c r="N61" s="45"/>
      <c r="O61" s="45"/>
    </row>
    <row r="62" spans="12:15" ht="50.1" customHeight="1" x14ac:dyDescent="0.25">
      <c r="L62" s="20"/>
      <c r="M62" s="45"/>
      <c r="N62" s="45"/>
      <c r="O62" s="45"/>
    </row>
    <row r="63" spans="12:15" ht="50.1" customHeight="1" x14ac:dyDescent="0.25">
      <c r="L63" s="20"/>
      <c r="M63" s="45"/>
      <c r="N63" s="45"/>
      <c r="O63" s="45"/>
    </row>
    <row r="64" spans="12:15" ht="50.1" customHeight="1" x14ac:dyDescent="0.25">
      <c r="L64" s="20"/>
      <c r="M64" s="45"/>
      <c r="N64" s="45"/>
      <c r="O64" s="45"/>
    </row>
    <row r="65" spans="12:12" ht="50.1" customHeight="1" x14ac:dyDescent="0.25">
      <c r="L65" s="20"/>
    </row>
    <row r="66" spans="12:12" ht="50.1" customHeight="1" x14ac:dyDescent="0.25">
      <c r="L66" s="20"/>
    </row>
    <row r="67" spans="12:12" ht="50.1" customHeight="1" x14ac:dyDescent="0.25">
      <c r="L67" s="20"/>
    </row>
    <row r="68" spans="12:12" ht="50.1" customHeight="1" x14ac:dyDescent="0.25">
      <c r="L68" s="20"/>
    </row>
    <row r="69" spans="12:12" ht="50.1" customHeight="1" x14ac:dyDescent="0.25">
      <c r="L69" s="20"/>
    </row>
    <row r="70" spans="12:12" ht="50.1" customHeight="1" x14ac:dyDescent="0.25">
      <c r="L70" s="20"/>
    </row>
    <row r="71" spans="12:12" ht="50.1" customHeight="1" x14ac:dyDescent="0.25">
      <c r="L71" s="20"/>
    </row>
    <row r="72" spans="12:12" ht="50.1" customHeight="1" x14ac:dyDescent="0.25">
      <c r="L72" s="20"/>
    </row>
    <row r="73" spans="12:12" ht="50.1" customHeight="1" x14ac:dyDescent="0.25">
      <c r="L73" s="20"/>
    </row>
    <row r="74" spans="12:12" ht="50.1" customHeight="1" x14ac:dyDescent="0.25">
      <c r="L74" s="20"/>
    </row>
    <row r="75" spans="12:12" ht="50.1" customHeight="1" x14ac:dyDescent="0.25">
      <c r="L75" s="20"/>
    </row>
    <row r="76" spans="12:12" ht="50.1" customHeight="1" x14ac:dyDescent="0.25">
      <c r="L76" s="20"/>
    </row>
    <row r="77" spans="12:12" ht="50.1" customHeight="1" x14ac:dyDescent="0.25">
      <c r="L77" s="20"/>
    </row>
    <row r="78" spans="12:12" ht="50.1" customHeight="1" x14ac:dyDescent="0.25">
      <c r="L78" s="20"/>
    </row>
    <row r="79" spans="12:12" ht="50.1" customHeight="1" x14ac:dyDescent="0.25">
      <c r="L79" s="20"/>
    </row>
    <row r="80" spans="12:12" ht="50.1" customHeight="1" x14ac:dyDescent="0.25">
      <c r="L80" s="20"/>
    </row>
    <row r="81" spans="12:12" ht="50.1" customHeight="1" x14ac:dyDescent="0.25">
      <c r="L81" s="20"/>
    </row>
    <row r="82" spans="12:12" ht="50.1" customHeight="1" x14ac:dyDescent="0.25">
      <c r="L82" s="20"/>
    </row>
    <row r="83" spans="12:12" ht="50.1" customHeight="1" x14ac:dyDescent="0.25">
      <c r="L83" s="20"/>
    </row>
    <row r="84" spans="12:12" ht="50.1" customHeight="1" x14ac:dyDescent="0.25">
      <c r="L84" s="20"/>
    </row>
    <row r="85" spans="12:12" ht="50.1" customHeight="1" x14ac:dyDescent="0.25">
      <c r="L85" s="20"/>
    </row>
    <row r="86" spans="12:12" ht="50.1" customHeight="1" x14ac:dyDescent="0.25">
      <c r="L86" s="20"/>
    </row>
    <row r="87" spans="12:12" ht="50.1" customHeight="1" x14ac:dyDescent="0.25">
      <c r="L87" s="20"/>
    </row>
    <row r="88" spans="12:12" ht="50.1" customHeight="1" x14ac:dyDescent="0.25">
      <c r="L88" s="20"/>
    </row>
    <row r="89" spans="12:12" ht="50.1" customHeight="1" x14ac:dyDescent="0.25">
      <c r="L89" s="20"/>
    </row>
    <row r="90" spans="12:12" ht="50.1" customHeight="1" x14ac:dyDescent="0.25">
      <c r="L90" s="20"/>
    </row>
    <row r="91" spans="12:12" ht="50.1" customHeight="1" x14ac:dyDescent="0.25">
      <c r="L91" s="20"/>
    </row>
    <row r="92" spans="12:12" ht="50.1" customHeight="1" x14ac:dyDescent="0.25">
      <c r="L92" s="20"/>
    </row>
    <row r="93" spans="12:12" ht="50.1" customHeight="1" x14ac:dyDescent="0.25">
      <c r="L93" s="20"/>
    </row>
    <row r="94" spans="12:12" ht="50.1" customHeight="1" x14ac:dyDescent="0.25">
      <c r="L94" s="20"/>
    </row>
  </sheetData>
  <autoFilter ref="B6:Q35" xr:uid="{00000000-0009-0000-0000-000000000000}"/>
  <mergeCells count="17">
    <mergeCell ref="Q5:Q6"/>
    <mergeCell ref="O5:O6"/>
    <mergeCell ref="D3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P5:P6"/>
  </mergeCells>
  <pageMargins left="0.70866141732283505" right="0.70866141732283505" top="0.74803149606299202" bottom="0.74803149606299202" header="0.31496062992126" footer="0.31496062992126"/>
  <pageSetup paperSize="8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workbookViewId="0">
      <selection activeCell="E5" sqref="E5:F5"/>
    </sheetView>
  </sheetViews>
  <sheetFormatPr defaultColWidth="8.85546875" defaultRowHeight="15" x14ac:dyDescent="0.25"/>
  <cols>
    <col min="2" max="3" width="21.42578125" customWidth="1"/>
    <col min="4" max="4" width="23" customWidth="1"/>
    <col min="5" max="5" width="23.140625" bestFit="1" customWidth="1"/>
    <col min="6" max="6" width="27.7109375" customWidth="1"/>
  </cols>
  <sheetData>
    <row r="2" spans="2:6" ht="56.25" x14ac:dyDescent="0.25">
      <c r="B2" s="5" t="s">
        <v>4</v>
      </c>
      <c r="C2" s="5" t="s">
        <v>46</v>
      </c>
      <c r="D2" s="6" t="s">
        <v>45</v>
      </c>
      <c r="E2" s="6" t="s">
        <v>48</v>
      </c>
      <c r="F2" s="6" t="s">
        <v>47</v>
      </c>
    </row>
    <row r="3" spans="2:6" ht="18.75" x14ac:dyDescent="0.25">
      <c r="B3" s="3" t="s">
        <v>30</v>
      </c>
      <c r="C3" s="3"/>
      <c r="D3" s="4"/>
      <c r="E3" s="11"/>
      <c r="F3" s="11"/>
    </row>
    <row r="4" spans="2:6" ht="18.75" x14ac:dyDescent="0.25">
      <c r="B4" s="3" t="s">
        <v>31</v>
      </c>
      <c r="C4" s="3"/>
      <c r="D4" s="4"/>
      <c r="E4" s="11"/>
      <c r="F4" s="11"/>
    </row>
    <row r="5" spans="2:6" ht="18.75" x14ac:dyDescent="0.25">
      <c r="B5" s="3" t="s">
        <v>15</v>
      </c>
      <c r="C5" s="3"/>
      <c r="D5" s="4"/>
      <c r="E5" s="11"/>
      <c r="F5" s="11"/>
    </row>
    <row r="6" spans="2:6" ht="18.75" x14ac:dyDescent="0.25">
      <c r="B6" s="3" t="s">
        <v>32</v>
      </c>
      <c r="C6" s="3"/>
      <c r="D6" s="4"/>
      <c r="E6" s="11"/>
      <c r="F6" s="11"/>
    </row>
    <row r="7" spans="2:6" ht="18.75" x14ac:dyDescent="0.25">
      <c r="B7" s="3" t="s">
        <v>33</v>
      </c>
      <c r="C7" s="12"/>
      <c r="D7" s="13"/>
      <c r="E7" s="14"/>
      <c r="F7" s="14"/>
    </row>
    <row r="8" spans="2:6" ht="18.75" x14ac:dyDescent="0.25">
      <c r="B8" s="3" t="s">
        <v>34</v>
      </c>
      <c r="C8" s="3"/>
      <c r="D8" s="4"/>
      <c r="E8" s="11"/>
      <c r="F8" s="11"/>
    </row>
    <row r="9" spans="2:6" ht="18.75" x14ac:dyDescent="0.25">
      <c r="B9" s="3" t="s">
        <v>35</v>
      </c>
      <c r="C9" s="3"/>
      <c r="D9" s="4"/>
      <c r="E9" s="11"/>
      <c r="F9" s="11"/>
    </row>
    <row r="10" spans="2:6" ht="18.75" x14ac:dyDescent="0.25">
      <c r="B10" s="3" t="s">
        <v>36</v>
      </c>
      <c r="C10" s="3"/>
      <c r="D10" s="4"/>
      <c r="E10" s="11"/>
      <c r="F10" s="11"/>
    </row>
    <row r="11" spans="2:6" ht="18.75" x14ac:dyDescent="0.25">
      <c r="B11" s="7" t="s">
        <v>20</v>
      </c>
      <c r="C11" s="7">
        <f>SUM(C3:C10)</f>
        <v>0</v>
      </c>
      <c r="D11" s="7">
        <f t="shared" ref="D11:F11" si="0">SUM(D3:D10)</f>
        <v>0</v>
      </c>
      <c r="E11" s="7">
        <f t="shared" si="0"/>
        <v>0</v>
      </c>
      <c r="F11" s="7">
        <f t="shared" si="0"/>
        <v>0</v>
      </c>
    </row>
    <row r="12" spans="2:6" ht="18.75" x14ac:dyDescent="0.25">
      <c r="B12" s="3" t="s">
        <v>37</v>
      </c>
      <c r="C12" s="3"/>
      <c r="D12" s="4"/>
      <c r="E12" s="9"/>
      <c r="F12" s="9"/>
    </row>
    <row r="13" spans="2:6" ht="18.75" x14ac:dyDescent="0.25">
      <c r="B13" s="3" t="s">
        <v>38</v>
      </c>
      <c r="C13" s="3"/>
      <c r="D13" s="4"/>
      <c r="E13" s="9"/>
      <c r="F13" s="9"/>
    </row>
    <row r="14" spans="2:6" ht="18.75" x14ac:dyDescent="0.25">
      <c r="B14" s="3" t="s">
        <v>43</v>
      </c>
      <c r="C14" s="3"/>
      <c r="D14" s="4"/>
      <c r="E14" s="9"/>
      <c r="F14" s="9"/>
    </row>
    <row r="15" spans="2:6" ht="18.75" x14ac:dyDescent="0.25">
      <c r="B15" s="3" t="s">
        <v>39</v>
      </c>
      <c r="C15" s="3"/>
      <c r="D15" s="4"/>
      <c r="E15" s="9"/>
      <c r="F15" s="9"/>
    </row>
    <row r="16" spans="2:6" ht="18.75" x14ac:dyDescent="0.25">
      <c r="B16" s="3" t="s">
        <v>40</v>
      </c>
      <c r="C16" s="3"/>
      <c r="D16" s="4"/>
      <c r="E16" s="9"/>
      <c r="F16" s="9"/>
    </row>
    <row r="17" spans="2:6" ht="18.75" x14ac:dyDescent="0.25">
      <c r="B17" s="3" t="s">
        <v>29</v>
      </c>
      <c r="C17" s="3"/>
      <c r="D17" s="4"/>
      <c r="E17" s="9"/>
      <c r="F17" s="9"/>
    </row>
    <row r="18" spans="2:6" ht="18.75" x14ac:dyDescent="0.25">
      <c r="B18" s="3" t="s">
        <v>41</v>
      </c>
      <c r="C18" s="3"/>
      <c r="D18" s="4"/>
      <c r="E18" s="9"/>
      <c r="F18" s="9"/>
    </row>
    <row r="19" spans="2:6" ht="18.75" x14ac:dyDescent="0.25">
      <c r="B19" s="3" t="s">
        <v>42</v>
      </c>
      <c r="C19" s="3"/>
      <c r="D19" s="4"/>
      <c r="E19" s="9"/>
      <c r="F19" s="9"/>
    </row>
    <row r="20" spans="2:6" ht="18.75" x14ac:dyDescent="0.25">
      <c r="B20" s="7" t="s">
        <v>44</v>
      </c>
      <c r="C20" s="10">
        <f t="shared" ref="C20:D20" si="1">SUM(C12:C19)</f>
        <v>0</v>
      </c>
      <c r="D20" s="10">
        <f t="shared" si="1"/>
        <v>0</v>
      </c>
      <c r="E20" s="10">
        <f>SUM(E12:E19)</f>
        <v>0</v>
      </c>
      <c r="F20" s="10">
        <f>SUM(F12:F19)</f>
        <v>0</v>
      </c>
    </row>
    <row r="21" spans="2:6" ht="18.75" x14ac:dyDescent="0.25">
      <c r="B21" s="8" t="s">
        <v>14</v>
      </c>
      <c r="C21" s="15">
        <f>C11+C20</f>
        <v>0</v>
      </c>
      <c r="D21" s="15">
        <f t="shared" ref="D21:F21" si="2">D11+D20</f>
        <v>0</v>
      </c>
      <c r="E21" s="15">
        <f t="shared" si="2"/>
        <v>0</v>
      </c>
      <c r="F21" s="15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9"/>
  <sheetViews>
    <sheetView topLeftCell="A6" workbookViewId="0">
      <selection activeCell="I13" sqref="I13"/>
    </sheetView>
  </sheetViews>
  <sheetFormatPr defaultColWidth="8.85546875" defaultRowHeight="15" x14ac:dyDescent="0.25"/>
  <cols>
    <col min="1" max="1" width="13.140625" customWidth="1"/>
    <col min="2" max="2" width="26.28515625" customWidth="1"/>
    <col min="3" max="3" width="27" customWidth="1"/>
    <col min="4" max="5" width="16.28515625" bestFit="1" customWidth="1"/>
    <col min="6" max="6" width="13.140625" customWidth="1"/>
    <col min="7" max="7" width="40" customWidth="1"/>
    <col min="8" max="8" width="38" customWidth="1"/>
    <col min="9" max="9" width="32.42578125" customWidth="1"/>
    <col min="10" max="21" width="16.28515625" bestFit="1" customWidth="1"/>
    <col min="22" max="22" width="11.28515625" bestFit="1" customWidth="1"/>
  </cols>
  <sheetData>
    <row r="3" spans="1:3" x14ac:dyDescent="0.25">
      <c r="A3" s="1" t="s">
        <v>49</v>
      </c>
      <c r="B3" t="s">
        <v>51</v>
      </c>
      <c r="C3" t="s">
        <v>52</v>
      </c>
    </row>
    <row r="4" spans="1:3" x14ac:dyDescent="0.25">
      <c r="A4" s="2" t="s">
        <v>42</v>
      </c>
      <c r="B4">
        <v>5</v>
      </c>
      <c r="C4">
        <v>5</v>
      </c>
    </row>
    <row r="5" spans="1:3" x14ac:dyDescent="0.25">
      <c r="A5" s="2" t="s">
        <v>43</v>
      </c>
      <c r="B5">
        <v>20</v>
      </c>
      <c r="C5">
        <v>20</v>
      </c>
    </row>
    <row r="6" spans="1:3" x14ac:dyDescent="0.25">
      <c r="A6" s="2" t="s">
        <v>29</v>
      </c>
      <c r="B6">
        <v>16</v>
      </c>
      <c r="C6">
        <v>16</v>
      </c>
    </row>
    <row r="7" spans="1:3" x14ac:dyDescent="0.25">
      <c r="A7" s="2" t="s">
        <v>39</v>
      </c>
      <c r="B7">
        <v>59</v>
      </c>
      <c r="C7">
        <v>32</v>
      </c>
    </row>
    <row r="8" spans="1:3" x14ac:dyDescent="0.25">
      <c r="A8" s="2" t="s">
        <v>40</v>
      </c>
      <c r="B8">
        <v>28</v>
      </c>
      <c r="C8">
        <v>12</v>
      </c>
    </row>
    <row r="9" spans="1:3" x14ac:dyDescent="0.25">
      <c r="A9" s="2" t="s">
        <v>36</v>
      </c>
      <c r="B9">
        <v>28</v>
      </c>
      <c r="C9">
        <v>22</v>
      </c>
    </row>
    <row r="10" spans="1:3" x14ac:dyDescent="0.25">
      <c r="A10" s="2" t="s">
        <v>35</v>
      </c>
      <c r="B10">
        <v>35</v>
      </c>
      <c r="C10">
        <v>31</v>
      </c>
    </row>
    <row r="11" spans="1:3" x14ac:dyDescent="0.25">
      <c r="A11" s="2" t="s">
        <v>30</v>
      </c>
      <c r="B11">
        <v>40</v>
      </c>
      <c r="C11">
        <v>17</v>
      </c>
    </row>
    <row r="12" spans="1:3" x14ac:dyDescent="0.25">
      <c r="A12" s="2" t="s">
        <v>34</v>
      </c>
      <c r="B12">
        <v>45</v>
      </c>
      <c r="C12">
        <v>45</v>
      </c>
    </row>
    <row r="13" spans="1:3" x14ac:dyDescent="0.25">
      <c r="A13" s="2" t="s">
        <v>15</v>
      </c>
      <c r="B13">
        <v>25</v>
      </c>
      <c r="C13">
        <v>24</v>
      </c>
    </row>
    <row r="14" spans="1:3" x14ac:dyDescent="0.25">
      <c r="A14" s="2" t="s">
        <v>31</v>
      </c>
      <c r="B14">
        <v>57</v>
      </c>
      <c r="C14">
        <v>53</v>
      </c>
    </row>
    <row r="15" spans="1:3" x14ac:dyDescent="0.25">
      <c r="A15" s="2" t="s">
        <v>32</v>
      </c>
      <c r="B15">
        <v>29</v>
      </c>
      <c r="C15">
        <v>26</v>
      </c>
    </row>
    <row r="16" spans="1:3" x14ac:dyDescent="0.25">
      <c r="A16" s="2" t="s">
        <v>38</v>
      </c>
      <c r="B16">
        <v>97</v>
      </c>
      <c r="C16">
        <v>63</v>
      </c>
    </row>
    <row r="17" spans="1:8" x14ac:dyDescent="0.25">
      <c r="A17" s="2" t="s">
        <v>41</v>
      </c>
      <c r="B17">
        <v>15</v>
      </c>
      <c r="C17">
        <v>15</v>
      </c>
    </row>
    <row r="18" spans="1:8" x14ac:dyDescent="0.25">
      <c r="A18" s="2" t="s">
        <v>33</v>
      </c>
    </row>
    <row r="19" spans="1:8" x14ac:dyDescent="0.25">
      <c r="A19" s="2" t="s">
        <v>37</v>
      </c>
      <c r="B19">
        <v>94</v>
      </c>
      <c r="C19">
        <v>94</v>
      </c>
    </row>
    <row r="20" spans="1:8" x14ac:dyDescent="0.25">
      <c r="A20" s="2" t="s">
        <v>50</v>
      </c>
      <c r="B20">
        <v>593</v>
      </c>
      <c r="C20">
        <v>475</v>
      </c>
    </row>
    <row r="22" spans="1:8" x14ac:dyDescent="0.25">
      <c r="F22" s="1" t="s">
        <v>49</v>
      </c>
      <c r="G22" t="s">
        <v>55</v>
      </c>
      <c r="H22" t="s">
        <v>56</v>
      </c>
    </row>
    <row r="23" spans="1:8" x14ac:dyDescent="0.25">
      <c r="F23" s="2" t="s">
        <v>42</v>
      </c>
      <c r="G23" s="16">
        <v>959.43086400000004</v>
      </c>
      <c r="H23" s="16">
        <v>457.48787299999998</v>
      </c>
    </row>
    <row r="24" spans="1:8" x14ac:dyDescent="0.25">
      <c r="F24" s="2" t="s">
        <v>43</v>
      </c>
      <c r="G24" s="16">
        <v>1953.4533220000001</v>
      </c>
      <c r="H24" s="16">
        <v>1464.0072379999999</v>
      </c>
    </row>
    <row r="25" spans="1:8" x14ac:dyDescent="0.25">
      <c r="F25" s="2" t="s">
        <v>29</v>
      </c>
      <c r="G25" s="16">
        <v>5254.2033190000002</v>
      </c>
      <c r="H25" s="16">
        <v>4044.0736459999998</v>
      </c>
    </row>
    <row r="26" spans="1:8" x14ac:dyDescent="0.25">
      <c r="F26" s="2" t="s">
        <v>39</v>
      </c>
      <c r="G26" s="16">
        <v>1913.53927862975</v>
      </c>
      <c r="H26" s="16">
        <v>1559.902728</v>
      </c>
    </row>
    <row r="27" spans="1:8" x14ac:dyDescent="0.25">
      <c r="F27" s="2" t="s">
        <v>40</v>
      </c>
      <c r="G27" s="16">
        <v>1128.1608819999999</v>
      </c>
      <c r="H27" s="16">
        <v>880.83</v>
      </c>
    </row>
    <row r="28" spans="1:8" x14ac:dyDescent="0.25">
      <c r="F28" s="2" t="s">
        <v>36</v>
      </c>
      <c r="G28" s="16">
        <v>1298.1652005000001</v>
      </c>
      <c r="H28" s="16">
        <v>519.26607960000001</v>
      </c>
    </row>
    <row r="29" spans="1:8" x14ac:dyDescent="0.25">
      <c r="F29" s="2" t="s">
        <v>35</v>
      </c>
      <c r="G29" s="16">
        <v>1245.36919464882</v>
      </c>
      <c r="H29" s="16">
        <v>1033.840453</v>
      </c>
    </row>
    <row r="30" spans="1:8" x14ac:dyDescent="0.25">
      <c r="F30" s="2" t="s">
        <v>30</v>
      </c>
      <c r="G30" s="16">
        <v>958.8</v>
      </c>
      <c r="H30" s="16">
        <v>797.14</v>
      </c>
    </row>
    <row r="31" spans="1:8" x14ac:dyDescent="0.25">
      <c r="F31" s="2" t="s">
        <v>34</v>
      </c>
      <c r="G31" s="16">
        <v>1312.4111618499999</v>
      </c>
      <c r="H31" s="16">
        <v>1092.579518</v>
      </c>
    </row>
    <row r="32" spans="1:8" x14ac:dyDescent="0.25">
      <c r="F32" s="2" t="s">
        <v>15</v>
      </c>
      <c r="G32" s="16">
        <v>1292.5776103399999</v>
      </c>
      <c r="H32" s="16">
        <v>1070.5328149239999</v>
      </c>
    </row>
    <row r="33" spans="6:8" x14ac:dyDescent="0.25">
      <c r="F33" s="2" t="s">
        <v>31</v>
      </c>
      <c r="G33" s="16">
        <v>1273.0753087058799</v>
      </c>
      <c r="H33" s="16">
        <v>1055.4144510000001</v>
      </c>
    </row>
    <row r="34" spans="6:8" x14ac:dyDescent="0.25">
      <c r="F34" s="2" t="s">
        <v>32</v>
      </c>
      <c r="G34" s="16">
        <v>1093.3688629999999</v>
      </c>
      <c r="H34" s="16">
        <v>910.62470499999995</v>
      </c>
    </row>
    <row r="35" spans="6:8" x14ac:dyDescent="0.25">
      <c r="F35" s="2" t="s">
        <v>38</v>
      </c>
      <c r="G35" s="16">
        <v>5470.8015566496697</v>
      </c>
      <c r="H35" s="16">
        <v>1955.51239259</v>
      </c>
    </row>
    <row r="36" spans="6:8" x14ac:dyDescent="0.25">
      <c r="F36" s="2" t="s">
        <v>41</v>
      </c>
      <c r="G36" s="16">
        <v>9626.2365348799995</v>
      </c>
      <c r="H36" s="16">
        <v>4650.5153259999997</v>
      </c>
    </row>
    <row r="37" spans="6:8" x14ac:dyDescent="0.25">
      <c r="F37" s="2" t="s">
        <v>33</v>
      </c>
      <c r="G37" s="16"/>
      <c r="H37" s="16"/>
    </row>
    <row r="38" spans="6:8" x14ac:dyDescent="0.25">
      <c r="F38" s="2" t="s">
        <v>37</v>
      </c>
      <c r="G38" s="16">
        <v>2530.738057</v>
      </c>
      <c r="H38" s="16">
        <v>2139.7155298100001</v>
      </c>
    </row>
    <row r="39" spans="6:8" x14ac:dyDescent="0.25">
      <c r="F39" s="2" t="s">
        <v>50</v>
      </c>
      <c r="G39" s="16">
        <v>37310.331153204119</v>
      </c>
      <c r="H39" s="16">
        <v>23631.442754924003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B18" sqref="B18:E20"/>
    </sheetView>
  </sheetViews>
  <sheetFormatPr defaultColWidth="8.85546875" defaultRowHeight="15" x14ac:dyDescent="0.25"/>
  <cols>
    <col min="1" max="1" width="20.140625" customWidth="1"/>
    <col min="2" max="2" width="19.42578125" customWidth="1"/>
    <col min="3" max="3" width="22.85546875" customWidth="1"/>
    <col min="4" max="4" width="32.7109375" customWidth="1"/>
    <col min="5" max="5" width="32.140625" customWidth="1"/>
  </cols>
  <sheetData>
    <row r="1" spans="1:5" ht="56.25" x14ac:dyDescent="0.25">
      <c r="A1" s="5" t="s">
        <v>4</v>
      </c>
      <c r="B1" s="5" t="s">
        <v>46</v>
      </c>
      <c r="C1" s="6" t="s">
        <v>45</v>
      </c>
      <c r="D1" s="6" t="s">
        <v>54</v>
      </c>
      <c r="E1" s="6" t="s">
        <v>53</v>
      </c>
    </row>
    <row r="2" spans="1:5" ht="18.75" x14ac:dyDescent="0.25">
      <c r="A2" s="3" t="s">
        <v>30</v>
      </c>
      <c r="B2" s="3">
        <v>40</v>
      </c>
      <c r="C2" s="4">
        <v>17</v>
      </c>
      <c r="D2" s="11">
        <f>958800000/1000000</f>
        <v>958.8</v>
      </c>
      <c r="E2" s="11">
        <f>797140000/1000000</f>
        <v>797.14</v>
      </c>
    </row>
    <row r="3" spans="1:5" ht="18.75" x14ac:dyDescent="0.25">
      <c r="A3" s="3" t="s">
        <v>31</v>
      </c>
      <c r="B3" s="3">
        <v>57</v>
      </c>
      <c r="C3" s="4">
        <v>53</v>
      </c>
      <c r="D3" s="11">
        <f>1273075308.70588/1000000</f>
        <v>1273.0753087058799</v>
      </c>
      <c r="E3" s="11">
        <f>1055414451/1000000</f>
        <v>1055.4144510000001</v>
      </c>
    </row>
    <row r="4" spans="1:5" ht="18.75" x14ac:dyDescent="0.25">
      <c r="A4" s="3" t="s">
        <v>15</v>
      </c>
      <c r="B4" s="3">
        <v>25</v>
      </c>
      <c r="C4" s="4">
        <v>24</v>
      </c>
      <c r="D4" s="11">
        <f>1292577610.34/1000000</f>
        <v>1292.5776103399999</v>
      </c>
      <c r="E4" s="11">
        <f>1070532814.924/1000000</f>
        <v>1070.5328149239999</v>
      </c>
    </row>
    <row r="5" spans="1:5" ht="18.75" x14ac:dyDescent="0.25">
      <c r="A5" s="3" t="s">
        <v>32</v>
      </c>
      <c r="B5" s="3">
        <v>29</v>
      </c>
      <c r="C5" s="4">
        <v>26</v>
      </c>
      <c r="D5" s="11">
        <f>1093368863/1000000</f>
        <v>1093.3688629999999</v>
      </c>
      <c r="E5" s="11">
        <f>910624705/1000000</f>
        <v>910.62470499999995</v>
      </c>
    </row>
    <row r="6" spans="1:5" ht="18.75" x14ac:dyDescent="0.25">
      <c r="A6" s="3" t="s">
        <v>33</v>
      </c>
      <c r="B6" s="12"/>
      <c r="C6" s="13"/>
      <c r="D6" s="14"/>
      <c r="E6" s="14"/>
    </row>
    <row r="7" spans="1:5" ht="18.75" x14ac:dyDescent="0.25">
      <c r="A7" s="3" t="s">
        <v>34</v>
      </c>
      <c r="B7" s="3">
        <v>45</v>
      </c>
      <c r="C7" s="4">
        <v>45</v>
      </c>
      <c r="D7" s="11">
        <f>1312411161.85/1000000</f>
        <v>1312.4111618499999</v>
      </c>
      <c r="E7" s="11">
        <f>1092579518/1000000</f>
        <v>1092.579518</v>
      </c>
    </row>
    <row r="8" spans="1:5" ht="18.75" x14ac:dyDescent="0.25">
      <c r="A8" s="3" t="s">
        <v>35</v>
      </c>
      <c r="B8" s="3">
        <v>35</v>
      </c>
      <c r="C8" s="4">
        <v>31</v>
      </c>
      <c r="D8" s="11">
        <f>1245369194.64882/1000000</f>
        <v>1245.36919464882</v>
      </c>
      <c r="E8" s="11">
        <f>1033840453/1000000</f>
        <v>1033.840453</v>
      </c>
    </row>
    <row r="9" spans="1:5" ht="18.75" x14ac:dyDescent="0.25">
      <c r="A9" s="3" t="s">
        <v>36</v>
      </c>
      <c r="B9" s="3">
        <v>28</v>
      </c>
      <c r="C9" s="4">
        <v>22</v>
      </c>
      <c r="D9" s="11">
        <f>1298165200.5/1000000</f>
        <v>1298.1652005000001</v>
      </c>
      <c r="E9" s="11">
        <f>519266079.6/1000000</f>
        <v>519.26607960000001</v>
      </c>
    </row>
    <row r="10" spans="1:5" ht="18.75" x14ac:dyDescent="0.25">
      <c r="A10" s="3" t="s">
        <v>37</v>
      </c>
      <c r="B10" s="3">
        <v>94</v>
      </c>
      <c r="C10" s="4">
        <v>94</v>
      </c>
      <c r="D10" s="11">
        <f>2530738057/1000000</f>
        <v>2530.738057</v>
      </c>
      <c r="E10" s="11">
        <f>2139715529.81/1000000</f>
        <v>2139.7155298100001</v>
      </c>
    </row>
    <row r="11" spans="1:5" ht="18.75" x14ac:dyDescent="0.25">
      <c r="A11" s="3" t="s">
        <v>38</v>
      </c>
      <c r="B11" s="3">
        <v>97</v>
      </c>
      <c r="C11" s="4">
        <v>63</v>
      </c>
      <c r="D11" s="11">
        <f>5470801556.64967/1000000</f>
        <v>5470.8015566496697</v>
      </c>
      <c r="E11" s="11">
        <f>1955512392.59/1000000</f>
        <v>1955.51239259</v>
      </c>
    </row>
    <row r="12" spans="1:5" ht="18.75" x14ac:dyDescent="0.25">
      <c r="A12" s="3" t="s">
        <v>43</v>
      </c>
      <c r="B12" s="3">
        <v>20</v>
      </c>
      <c r="C12" s="4">
        <v>20</v>
      </c>
      <c r="D12" s="11">
        <f>1953453322/1000000</f>
        <v>1953.4533220000001</v>
      </c>
      <c r="E12" s="11">
        <f>1464007238/1000000</f>
        <v>1464.0072379999999</v>
      </c>
    </row>
    <row r="13" spans="1:5" ht="18.75" x14ac:dyDescent="0.25">
      <c r="A13" s="3" t="s">
        <v>39</v>
      </c>
      <c r="B13" s="3">
        <v>59</v>
      </c>
      <c r="C13" s="4">
        <v>32</v>
      </c>
      <c r="D13" s="11">
        <f>1913539278.62975/1000000</f>
        <v>1913.53927862975</v>
      </c>
      <c r="E13" s="11">
        <f>1559902728/1000000</f>
        <v>1559.902728</v>
      </c>
    </row>
    <row r="14" spans="1:5" ht="18.75" x14ac:dyDescent="0.25">
      <c r="A14" s="3" t="s">
        <v>40</v>
      </c>
      <c r="B14" s="3">
        <v>28</v>
      </c>
      <c r="C14" s="4">
        <v>12</v>
      </c>
      <c r="D14" s="11">
        <f>1128160882/1000000</f>
        <v>1128.1608819999999</v>
      </c>
      <c r="E14" s="11">
        <f>880830000/1000000</f>
        <v>880.83</v>
      </c>
    </row>
    <row r="15" spans="1:5" ht="18.75" x14ac:dyDescent="0.25">
      <c r="A15" s="3" t="s">
        <v>29</v>
      </c>
      <c r="B15" s="3">
        <v>16</v>
      </c>
      <c r="C15" s="4">
        <v>16</v>
      </c>
      <c r="D15" s="11">
        <f>5254203319/1000000</f>
        <v>5254.2033190000002</v>
      </c>
      <c r="E15" s="11">
        <f>4044073646/1000000</f>
        <v>4044.0736459999998</v>
      </c>
    </row>
    <row r="16" spans="1:5" ht="18.75" x14ac:dyDescent="0.25">
      <c r="A16" s="3" t="s">
        <v>41</v>
      </c>
      <c r="B16" s="3">
        <v>15</v>
      </c>
      <c r="C16" s="4">
        <v>15</v>
      </c>
      <c r="D16" s="11">
        <f>9626236534.88/1000000</f>
        <v>9626.2365348799995</v>
      </c>
      <c r="E16" s="11">
        <f>4650515326/1000000</f>
        <v>4650.5153259999997</v>
      </c>
    </row>
    <row r="17" spans="1:5" ht="18.75" x14ac:dyDescent="0.25">
      <c r="A17" s="3" t="s">
        <v>42</v>
      </c>
      <c r="B17" s="3">
        <v>5</v>
      </c>
      <c r="C17" s="4">
        <v>5</v>
      </c>
      <c r="D17" s="11">
        <f>959430864/1000000</f>
        <v>959.43086400000004</v>
      </c>
      <c r="E17" s="11">
        <f>457487873/1000000</f>
        <v>457.48787299999998</v>
      </c>
    </row>
    <row r="18" spans="1:5" ht="18.75" x14ac:dyDescent="0.25">
      <c r="A18" s="8" t="s">
        <v>14</v>
      </c>
      <c r="B18" s="15">
        <f>SUM(B2:B17)</f>
        <v>593</v>
      </c>
      <c r="C18" s="15">
        <f t="shared" ref="C18:E18" si="0">SUM(C2:C17)</f>
        <v>475</v>
      </c>
      <c r="D18" s="15">
        <f t="shared" si="0"/>
        <v>37310.331153204119</v>
      </c>
      <c r="E18" s="15">
        <f t="shared" si="0"/>
        <v>23631.442754923999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Apeluri PC trim IV 2023</vt:lpstr>
      <vt:lpstr>Centralizator 2023</vt:lpstr>
      <vt:lpstr>Sheet1Pivot chart 0</vt:lpstr>
      <vt:lpstr>Sheet9</vt:lpstr>
      <vt:lpstr>'Apeluri PC trim IV 2023'!Print_Area</vt:lpstr>
      <vt:lpstr>'Apeluri PC trim IV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Laurentiu Gagu</cp:lastModifiedBy>
  <cp:lastPrinted>2023-10-31T07:48:54Z</cp:lastPrinted>
  <dcterms:created xsi:type="dcterms:W3CDTF">2022-11-16T11:13:12Z</dcterms:created>
  <dcterms:modified xsi:type="dcterms:W3CDTF">2023-11-23T11:12:32Z</dcterms:modified>
</cp:coreProperties>
</file>